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" yWindow="65356" windowWidth="8100" windowHeight="4100" activeTab="2"/>
  </bookViews>
  <sheets>
    <sheet name="Direct Params" sheetId="1" r:id="rId1"/>
    <sheet name="EQ1" sheetId="2" r:id="rId2"/>
    <sheet name="EQ All Peaking" sheetId="3" r:id="rId3"/>
  </sheets>
  <definedNames/>
  <calcPr fullCalcOnLoad="1"/>
</workbook>
</file>

<file path=xl/sharedStrings.xml><?xml version="1.0" encoding="utf-8"?>
<sst xmlns="http://schemas.openxmlformats.org/spreadsheetml/2006/main" count="415" uniqueCount="149">
  <si>
    <t>CH1 Pre-EQ</t>
  </si>
  <si>
    <t>CH1 Post-EQ</t>
  </si>
  <si>
    <t>CH1 Pre + Post</t>
  </si>
  <si>
    <t>pre1</t>
  </si>
  <si>
    <t>post2</t>
  </si>
  <si>
    <t>post3</t>
  </si>
  <si>
    <t>post4</t>
  </si>
  <si>
    <t>post 5</t>
  </si>
  <si>
    <t>CH1 Post-EQ1</t>
  </si>
  <si>
    <t>CH1 Post-EQ2</t>
  </si>
  <si>
    <t>CH1 Post-EQ3</t>
  </si>
  <si>
    <t>CH1 Post-EQ4</t>
  </si>
  <si>
    <t>CH1 Post-EQ5</t>
  </si>
  <si>
    <t>CH1 Pre-EQ1</t>
  </si>
  <si>
    <t>CH1 Pre-EQ2</t>
  </si>
  <si>
    <t>CH1 Pre-EQ3</t>
  </si>
  <si>
    <t>CH1 Pre-EQ4</t>
  </si>
  <si>
    <t>CH1 Pre-EQ5</t>
  </si>
  <si>
    <t>B0</t>
  </si>
  <si>
    <t>B1</t>
  </si>
  <si>
    <t>B2</t>
  </si>
  <si>
    <t>-A1</t>
  </si>
  <si>
    <t>-A2</t>
  </si>
  <si>
    <t>FREQ</t>
  </si>
  <si>
    <t>w</t>
  </si>
  <si>
    <t>Phi</t>
  </si>
  <si>
    <t>PRE-EQ</t>
  </si>
  <si>
    <t>POST-EQ</t>
  </si>
  <si>
    <t>post1</t>
  </si>
  <si>
    <t>pre2</t>
  </si>
  <si>
    <t>pre3</t>
  </si>
  <si>
    <t>pre4</t>
  </si>
  <si>
    <t>pre5</t>
  </si>
  <si>
    <t>Q</t>
  </si>
  <si>
    <t>dBgain</t>
  </si>
  <si>
    <t>Master dbgain</t>
  </si>
  <si>
    <t>A</t>
  </si>
  <si>
    <t>http://www.musicdsp.org/files/Audio-EQ-Cookbook.txt</t>
  </si>
  <si>
    <t>wo</t>
  </si>
  <si>
    <t>Fo</t>
  </si>
  <si>
    <t>cos(wo)</t>
  </si>
  <si>
    <t>sin(wo)</t>
  </si>
  <si>
    <t>Alpha</t>
  </si>
  <si>
    <t>LPF B0</t>
  </si>
  <si>
    <t>LPF B1</t>
  </si>
  <si>
    <t>LPF B2</t>
  </si>
  <si>
    <t>LPF A2</t>
  </si>
  <si>
    <t>LPF A0</t>
  </si>
  <si>
    <t>LPF A1</t>
  </si>
  <si>
    <t>HPF B0</t>
  </si>
  <si>
    <t>HPF B1</t>
  </si>
  <si>
    <t>HPF B2</t>
  </si>
  <si>
    <t>HPF A0</t>
  </si>
  <si>
    <t>HPF A1</t>
  </si>
  <si>
    <t>HPF A2</t>
  </si>
  <si>
    <t>HShelf B0</t>
  </si>
  <si>
    <t>HShelf B1</t>
  </si>
  <si>
    <t>HShelf B2</t>
  </si>
  <si>
    <t>HShelf A0</t>
  </si>
  <si>
    <t>HShelf A1</t>
  </si>
  <si>
    <t>HShelf A2</t>
  </si>
  <si>
    <t>LShelf B0</t>
  </si>
  <si>
    <t>LShelf B1</t>
  </si>
  <si>
    <t>LShelf B2</t>
  </si>
  <si>
    <t>LShelf A0</t>
  </si>
  <si>
    <t>LShelf A1</t>
  </si>
  <si>
    <t>LShelf A2</t>
  </si>
  <si>
    <t>Master A</t>
  </si>
  <si>
    <t>Notch B0</t>
  </si>
  <si>
    <t>Notch B1</t>
  </si>
  <si>
    <t>Notch B2</t>
  </si>
  <si>
    <t>Notch A0</t>
  </si>
  <si>
    <t>Notch A1</t>
  </si>
  <si>
    <t>Notch A2</t>
  </si>
  <si>
    <t>Peaking B0</t>
  </si>
  <si>
    <t>Peaking B1</t>
  </si>
  <si>
    <t>Peaking B2</t>
  </si>
  <si>
    <t>Peaking A0</t>
  </si>
  <si>
    <t>Peaking A1</t>
  </si>
  <si>
    <t>Peaking A2</t>
  </si>
  <si>
    <t>a</t>
  </si>
  <si>
    <t>g</t>
  </si>
  <si>
    <t>b</t>
  </si>
  <si>
    <t>a2 g&gt;=1</t>
  </si>
  <si>
    <t>a1 g&lt;1</t>
  </si>
  <si>
    <t>H</t>
  </si>
  <si>
    <t>d</t>
  </si>
  <si>
    <t>Fc</t>
  </si>
  <si>
    <t>Planet Analog 2nd order EQ filter</t>
  </si>
  <si>
    <t>PA EQ B0</t>
  </si>
  <si>
    <t>PA EQ B1</t>
  </si>
  <si>
    <t>PA EQ B2</t>
  </si>
  <si>
    <t>PA EQ A1</t>
  </si>
  <si>
    <t>PA EQ A2</t>
  </si>
  <si>
    <t>PA EQ</t>
  </si>
  <si>
    <t>F0</t>
  </si>
  <si>
    <t>S1</t>
  </si>
  <si>
    <t>S2</t>
  </si>
  <si>
    <t>S3</t>
  </si>
  <si>
    <t>S4</t>
  </si>
  <si>
    <t>LPF</t>
  </si>
  <si>
    <t>HPF</t>
  </si>
  <si>
    <t>A0</t>
  </si>
  <si>
    <t>A1</t>
  </si>
  <si>
    <t>A2</t>
  </si>
  <si>
    <t>Hi Shelf</t>
  </si>
  <si>
    <t>Lo Shelf</t>
  </si>
  <si>
    <t>PeakingEQ</t>
  </si>
  <si>
    <t>Peaking EQ</t>
  </si>
  <si>
    <t>PeakEQ</t>
  </si>
  <si>
    <t>Normal dB</t>
  </si>
  <si>
    <t>Master dB</t>
  </si>
  <si>
    <t>Padded</t>
  </si>
  <si>
    <t>Coeff to Hex</t>
  </si>
  <si>
    <t>Quantised</t>
  </si>
  <si>
    <t>reconvert</t>
  </si>
  <si>
    <t>Text</t>
  </si>
  <si>
    <t>Little Endian</t>
  </si>
  <si>
    <t>String</t>
  </si>
  <si>
    <t>Low Shelf</t>
  </si>
  <si>
    <t>Peak EQ</t>
  </si>
  <si>
    <t>Total</t>
  </si>
  <si>
    <t>Fs</t>
  </si>
  <si>
    <t>IdBoffset</t>
  </si>
  <si>
    <t>Lingain</t>
  </si>
  <si>
    <t xml:space="preserve">67 A1 0F 64 D3 E0 E8 9E 0F 09 9C 1F FB 4F F0 </t>
  </si>
  <si>
    <t>CH1</t>
  </si>
  <si>
    <t>Page up/Down : Big Jump</t>
  </si>
  <si>
    <t>Select Slider, then</t>
  </si>
  <si>
    <t>Up/Down arrows : Fine tune</t>
  </si>
  <si>
    <t>Thank you for your personal support !!</t>
  </si>
  <si>
    <t>Dear R B-J,</t>
  </si>
  <si>
    <t>Web Surf</t>
  </si>
  <si>
    <t>Feb 2006</t>
  </si>
  <si>
    <t>with High Q peaking filters. As you sweep the Fo, the</t>
  </si>
  <si>
    <t>method. You either need to plot 25 points per octave</t>
  </si>
  <si>
    <t xml:space="preserve">or you need to make sure that each Fo of each Notch </t>
  </si>
  <si>
    <t>is plotted.</t>
  </si>
  <si>
    <t>Only 6 points per octave with a curve smoothening is</t>
  </si>
  <si>
    <t>sufficient for all other plots.</t>
  </si>
  <si>
    <t xml:space="preserve">References : </t>
  </si>
  <si>
    <t>Cookbook</t>
  </si>
  <si>
    <t>Freq Response</t>
  </si>
  <si>
    <t>Usenet thread</t>
  </si>
  <si>
    <t>http://www.dsprelated.com/showmessage/50960/1.php</t>
  </si>
  <si>
    <t>http://groups.google.com/group/comp.dsp/browse_frm/thread/8c0fa8d396aeb444/a1bc5b63ac56b686</t>
  </si>
  <si>
    <t>Many programs that plot R- BJ equalisers have a problem</t>
  </si>
  <si>
    <t>Hz</t>
  </si>
  <si>
    <t>max attenuation/boost varies. This is a problem with their plot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</si>
</sst>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h:mm:ss\ AM/PM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sz val="10"/>
      <color indexed="8"/>
      <name val="Verdana"/>
      <family val="2"/>
    </font>
    <font>
      <sz val="10"/>
      <name val="Arial Unicode MS"/>
      <family val="0"/>
    </font>
    <font>
      <sz val="8"/>
      <name val="Arial"/>
      <family val="0"/>
    </font>
    <font>
      <sz val="9.5"/>
      <name val="Arial"/>
      <family val="0"/>
    </font>
    <font>
      <b/>
      <sz val="9.5"/>
      <color indexed="17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9.75"/>
      <color indexed="17"/>
      <name val="Arial"/>
      <family val="2"/>
    </font>
    <font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 quotePrefix="1">
      <alignment/>
    </xf>
    <xf numFmtId="0" fontId="0" fillId="0" borderId="0" xfId="0" applyFill="1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 quotePrefix="1">
      <alignment/>
    </xf>
    <xf numFmtId="2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3" borderId="0" xfId="0" applyFill="1" applyAlignment="1">
      <alignment/>
    </xf>
    <xf numFmtId="17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CH 1</a:t>
            </a:r>
          </a:p>
        </c:rich>
      </c:tx>
      <c:layout>
        <c:manualLayout>
          <c:xMode val="factor"/>
          <c:yMode val="factor"/>
          <c:x val="-0.035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3525"/>
          <c:w val="0.87825"/>
          <c:h val="0.96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'Direct Params'!$U$7</c:f>
              <c:strCache>
                <c:ptCount val="1"/>
                <c:pt idx="0">
                  <c:v>CH1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'Direct Params'!$R$8:$R$49</c:f>
              <c:numCache/>
            </c:numRef>
          </c:xVal>
          <c:yVal>
            <c:numRef>
              <c:f>'Direct Params'!$U$8:$U$49</c:f>
              <c:numCache/>
            </c:numRef>
          </c:yVal>
          <c:smooth val="1"/>
        </c:ser>
        <c:axId val="59330744"/>
        <c:axId val="64214649"/>
      </c:scatterChart>
      <c:valAx>
        <c:axId val="59330744"/>
        <c:scaling>
          <c:logBase val="10"/>
          <c:orientation val="minMax"/>
          <c:min val="10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4214649"/>
        <c:crosses val="autoZero"/>
        <c:crossBetween val="midCat"/>
        <c:dispUnits/>
      </c:valAx>
      <c:valAx>
        <c:axId val="64214649"/>
        <c:scaling>
          <c:orientation val="minMax"/>
          <c:max val="25"/>
          <c:min val="-2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9330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10525"/>
          <c:w val="0.146"/>
          <c:h val="0.39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R B-J Equalisers graphed by Websurff@gmail.com</a:t>
            </a:r>
          </a:p>
        </c:rich>
      </c:tx>
      <c:layout>
        <c:manualLayout>
          <c:xMode val="factor"/>
          <c:yMode val="factor"/>
          <c:x val="-0.035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35"/>
          <c:w val="0.98525"/>
          <c:h val="0.96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'EQ1'!$Z$115</c:f>
              <c:strCache>
                <c:ptCount val="1"/>
                <c:pt idx="0">
                  <c:v>CH1 Pre-EQ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'EQ1'!$R$116:$R$499</c:f>
              <c:numCache/>
            </c:numRef>
          </c:xVal>
          <c:yVal>
            <c:numRef>
              <c:f>'EQ1'!$Z$116:$Z$499</c:f>
              <c:numCache/>
            </c:numRef>
          </c:yVal>
          <c:smooth val="1"/>
        </c:ser>
        <c:ser>
          <c:idx val="0"/>
          <c:order val="1"/>
          <c:tx>
            <c:strRef>
              <c:f>'EQ1'!$U$115</c:f>
              <c:strCache>
                <c:ptCount val="1"/>
                <c:pt idx="0">
                  <c:v>CH1 Pre-EQ1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'EQ1'!$R$116:$R$499</c:f>
              <c:numCache/>
            </c:numRef>
          </c:xVal>
          <c:yVal>
            <c:numRef>
              <c:f>'EQ1'!$U$116:$U$499</c:f>
              <c:numCache/>
            </c:numRef>
          </c:yVal>
          <c:smooth val="1"/>
        </c:ser>
        <c:ser>
          <c:idx val="1"/>
          <c:order val="2"/>
          <c:tx>
            <c:strRef>
              <c:f>'EQ1'!$V$115</c:f>
              <c:strCache>
                <c:ptCount val="1"/>
                <c:pt idx="0">
                  <c:v>CH1 Pre-EQ2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'EQ1'!$R$116:$R$499</c:f>
              <c:numCache/>
            </c:numRef>
          </c:xVal>
          <c:yVal>
            <c:numRef>
              <c:f>'EQ1'!$V$116:$V$499</c:f>
              <c:numCache/>
            </c:numRef>
          </c:yVal>
          <c:smooth val="1"/>
        </c:ser>
        <c:ser>
          <c:idx val="2"/>
          <c:order val="3"/>
          <c:tx>
            <c:strRef>
              <c:f>'EQ1'!$W$115</c:f>
              <c:strCache>
                <c:ptCount val="1"/>
                <c:pt idx="0">
                  <c:v>CH1 Pre-EQ3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'EQ1'!$R$116:$R$499</c:f>
              <c:numCache/>
            </c:numRef>
          </c:xVal>
          <c:yVal>
            <c:numRef>
              <c:f>'EQ1'!$W$116:$W$499</c:f>
              <c:numCache/>
            </c:numRef>
          </c:yVal>
          <c:smooth val="1"/>
        </c:ser>
        <c:ser>
          <c:idx val="3"/>
          <c:order val="4"/>
          <c:tx>
            <c:strRef>
              <c:f>'EQ1'!$X$115</c:f>
              <c:strCache>
                <c:ptCount val="1"/>
                <c:pt idx="0">
                  <c:v>CH1 Pre-EQ4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'EQ1'!$R$116:$R$499</c:f>
              <c:numCache/>
            </c:numRef>
          </c:xVal>
          <c:yVal>
            <c:numRef>
              <c:f>'EQ1'!$X$116:$X$499</c:f>
              <c:numCache/>
            </c:numRef>
          </c:yVal>
          <c:smooth val="1"/>
        </c:ser>
        <c:ser>
          <c:idx val="4"/>
          <c:order val="5"/>
          <c:tx>
            <c:strRef>
              <c:f>'EQ1'!$Y$115</c:f>
              <c:strCache>
                <c:ptCount val="1"/>
                <c:pt idx="0">
                  <c:v>CH1 Pre-EQ5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5"/>
            <c:marker>
              <c:symbol val="none"/>
            </c:marker>
          </c:dPt>
          <c:xVal>
            <c:numRef>
              <c:f>'EQ1'!$R$116:$R$499</c:f>
              <c:numCache/>
            </c:numRef>
          </c:xVal>
          <c:yVal>
            <c:numRef>
              <c:f>'EQ1'!$Y$116:$Y$499</c:f>
              <c:numCache/>
            </c:numRef>
          </c:yVal>
          <c:smooth val="1"/>
        </c:ser>
        <c:axId val="41060930"/>
        <c:axId val="34004051"/>
      </c:scatterChart>
      <c:valAx>
        <c:axId val="41060930"/>
        <c:scaling>
          <c:logBase val="10"/>
          <c:orientation val="minMax"/>
          <c:min val="10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4004051"/>
        <c:crosses val="autoZero"/>
        <c:crossBetween val="midCat"/>
        <c:dispUnits/>
      </c:valAx>
      <c:valAx>
        <c:axId val="34004051"/>
        <c:scaling>
          <c:orientation val="minMax"/>
          <c:max val="25"/>
          <c:min val="-2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1060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81"/>
          <c:w val="0.18075"/>
          <c:h val="0.5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Channel 1 Post-EQ</a:t>
            </a:r>
          </a:p>
        </c:rich>
      </c:tx>
      <c:layout>
        <c:manualLayout>
          <c:xMode val="factor"/>
          <c:yMode val="factor"/>
          <c:x val="-0.035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365"/>
          <c:w val="0.88125"/>
          <c:h val="0.963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'EQ1'!$AJ$115</c:f>
              <c:strCache>
                <c:ptCount val="1"/>
                <c:pt idx="0">
                  <c:v>CH1 Post-EQ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'EQ1'!$R$116:$R$157</c:f>
              <c:numCache>
                <c:ptCount val="42"/>
                <c:pt idx="0">
                  <c:v>10</c:v>
                </c:pt>
                <c:pt idx="1">
                  <c:v>10.2</c:v>
                </c:pt>
                <c:pt idx="2">
                  <c:v>10.404</c:v>
                </c:pt>
                <c:pt idx="3">
                  <c:v>10.61208</c:v>
                </c:pt>
                <c:pt idx="4">
                  <c:v>10.824321600000001</c:v>
                </c:pt>
                <c:pt idx="5">
                  <c:v>11.040808032000001</c:v>
                </c:pt>
                <c:pt idx="6">
                  <c:v>11.261624192640001</c:v>
                </c:pt>
                <c:pt idx="7">
                  <c:v>11.4868566764928</c:v>
                </c:pt>
                <c:pt idx="8">
                  <c:v>11.716593810022657</c:v>
                </c:pt>
                <c:pt idx="9">
                  <c:v>11.95092568622311</c:v>
                </c:pt>
                <c:pt idx="10">
                  <c:v>12.189944199947572</c:v>
                </c:pt>
                <c:pt idx="11">
                  <c:v>12.433743083946524</c:v>
                </c:pt>
                <c:pt idx="12">
                  <c:v>12.682417945625454</c:v>
                </c:pt>
                <c:pt idx="13">
                  <c:v>12.936066304537963</c:v>
                </c:pt>
                <c:pt idx="14">
                  <c:v>13.194787630628722</c:v>
                </c:pt>
                <c:pt idx="15">
                  <c:v>13.458683383241297</c:v>
                </c:pt>
                <c:pt idx="16">
                  <c:v>13.727857050906124</c:v>
                </c:pt>
                <c:pt idx="17">
                  <c:v>14.002414191924247</c:v>
                </c:pt>
                <c:pt idx="18">
                  <c:v>14.282462475762733</c:v>
                </c:pt>
                <c:pt idx="19">
                  <c:v>14.568111725277987</c:v>
                </c:pt>
                <c:pt idx="20">
                  <c:v>14.859473959783546</c:v>
                </c:pt>
                <c:pt idx="21">
                  <c:v>15.156663438979217</c:v>
                </c:pt>
                <c:pt idx="22">
                  <c:v>15.459796707758802</c:v>
                </c:pt>
                <c:pt idx="23">
                  <c:v>15.768992641913979</c:v>
                </c:pt>
                <c:pt idx="24">
                  <c:v>16.08437249475226</c:v>
                </c:pt>
                <c:pt idx="25">
                  <c:v>16.406059944647303</c:v>
                </c:pt>
                <c:pt idx="26">
                  <c:v>16.73418114354025</c:v>
                </c:pt>
                <c:pt idx="27">
                  <c:v>17.068864766411057</c:v>
                </c:pt>
                <c:pt idx="28">
                  <c:v>17.41024206173928</c:v>
                </c:pt>
                <c:pt idx="29">
                  <c:v>17.758446902974065</c:v>
                </c:pt>
                <c:pt idx="30">
                  <c:v>18.113615841033546</c:v>
                </c:pt>
                <c:pt idx="31">
                  <c:v>18.475888157854218</c:v>
                </c:pt>
                <c:pt idx="32">
                  <c:v>18.845405921011302</c:v>
                </c:pt>
                <c:pt idx="33">
                  <c:v>19.222314039431527</c:v>
                </c:pt>
                <c:pt idx="34">
                  <c:v>19.606760320220157</c:v>
                </c:pt>
                <c:pt idx="35">
                  <c:v>19.998895526624562</c:v>
                </c:pt>
                <c:pt idx="36">
                  <c:v>20.398873437157054</c:v>
                </c:pt>
                <c:pt idx="37">
                  <c:v>20.806850905900195</c:v>
                </c:pt>
                <c:pt idx="38">
                  <c:v>21.2229879240182</c:v>
                </c:pt>
                <c:pt idx="39">
                  <c:v>21.647447682498562</c:v>
                </c:pt>
                <c:pt idx="40">
                  <c:v>22.080396636148535</c:v>
                </c:pt>
                <c:pt idx="41">
                  <c:v>22.522004568871505</c:v>
                </c:pt>
              </c:numCache>
            </c:numRef>
          </c:xVal>
          <c:yVal>
            <c:numRef>
              <c:f>'EQ1'!$AJ$116:$AJ$157</c:f>
              <c:numCache>
                <c:ptCount val="42"/>
                <c:pt idx="0">
                  <c:v>-3.872019848651714</c:v>
                </c:pt>
                <c:pt idx="1">
                  <c:v>-3.8620844982352907</c:v>
                </c:pt>
                <c:pt idx="2">
                  <c:v>-3.851782368061425</c:v>
                </c:pt>
                <c:pt idx="3">
                  <c:v>-3.841101269747753</c:v>
                </c:pt>
                <c:pt idx="4">
                  <c:v>-3.8300287133158584</c:v>
                </c:pt>
                <c:pt idx="5">
                  <c:v>-3.8185519078150314</c:v>
                </c:pt>
                <c:pt idx="6">
                  <c:v>-3.806657762712593</c:v>
                </c:pt>
                <c:pt idx="7">
                  <c:v>-3.7943328901113844</c:v>
                </c:pt>
                <c:pt idx="8">
                  <c:v>-3.7815636078568033</c:v>
                </c:pt>
                <c:pt idx="9">
                  <c:v>-3.768335943597794</c:v>
                </c:pt>
                <c:pt idx="10">
                  <c:v>-3.754635639868095</c:v>
                </c:pt>
                <c:pt idx="11">
                  <c:v>-3.740448160254857</c:v>
                </c:pt>
                <c:pt idx="12">
                  <c:v>-3.725758696723833</c:v>
                </c:pt>
                <c:pt idx="13">
                  <c:v>-3.710552178170474</c:v>
                </c:pt>
                <c:pt idx="14">
                  <c:v>-3.6948132802671836</c:v>
                </c:pt>
                <c:pt idx="15">
                  <c:v>-3.6785264366772203</c:v>
                </c:pt>
                <c:pt idx="16">
                  <c:v>-3.6616758517048673</c:v>
                </c:pt>
                <c:pt idx="17">
                  <c:v>-3.644245514451896</c:v>
                </c:pt>
                <c:pt idx="18">
                  <c:v>-3.6262192145472376</c:v>
                </c:pt>
                <c:pt idx="19">
                  <c:v>-3.6075805595170323</c:v>
                </c:pt>
                <c:pt idx="20">
                  <c:v>-3.588312993857528</c:v>
                </c:pt>
                <c:pt idx="21">
                  <c:v>-3.568399819871914</c:v>
                </c:pt>
                <c:pt idx="22">
                  <c:v>-3.547824220326703</c:v>
                </c:pt>
                <c:pt idx="23">
                  <c:v>-3.526569282979903</c:v>
                </c:pt>
                <c:pt idx="24">
                  <c:v>-3.5046180270261367</c:v>
                </c:pt>
                <c:pt idx="25">
                  <c:v>-3.4819534314989085</c:v>
                </c:pt>
                <c:pt idx="26">
                  <c:v>-3.458558465661625</c:v>
                </c:pt>
                <c:pt idx="27">
                  <c:v>-3.4344161214115445</c:v>
                </c:pt>
                <c:pt idx="28">
                  <c:v>-3.409509447711212</c:v>
                </c:pt>
                <c:pt idx="29">
                  <c:v>-3.383821587051525</c:v>
                </c:pt>
                <c:pt idx="30">
                  <c:v>-3.3573358139399616</c:v>
                </c:pt>
                <c:pt idx="31">
                  <c:v>-3.33003557539503</c:v>
                </c:pt>
                <c:pt idx="32">
                  <c:v>-3.3019045334145076</c:v>
                </c:pt>
                <c:pt idx="33">
                  <c:v>-3.272926609372359</c:v>
                </c:pt>
                <c:pt idx="34">
                  <c:v>-3.2430860302824414</c:v>
                </c:pt>
                <c:pt idx="35">
                  <c:v>-3.2123673768534395</c:v>
                </c:pt>
                <c:pt idx="36">
                  <c:v>-3.1807556332413505</c:v>
                </c:pt>
                <c:pt idx="37">
                  <c:v>-3.148236238390492</c:v>
                </c:pt>
                <c:pt idx="38">
                  <c:v>-3.1147951388346975</c:v>
                </c:pt>
                <c:pt idx="39">
                  <c:v>-3.0804188428139163</c:v>
                </c:pt>
                <c:pt idx="40">
                  <c:v>-3.045094475542669</c:v>
                </c:pt>
                <c:pt idx="41">
                  <c:v>-3.008809835447824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'EQ1'!$AE$115</c:f>
              <c:strCache>
                <c:ptCount val="1"/>
                <c:pt idx="0">
                  <c:v>CH1 Post-EQ1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'EQ1'!$R$116:$R$157</c:f>
              <c:numCache>
                <c:ptCount val="42"/>
                <c:pt idx="0">
                  <c:v>10</c:v>
                </c:pt>
                <c:pt idx="1">
                  <c:v>10.2</c:v>
                </c:pt>
                <c:pt idx="2">
                  <c:v>10.404</c:v>
                </c:pt>
                <c:pt idx="3">
                  <c:v>10.61208</c:v>
                </c:pt>
                <c:pt idx="4">
                  <c:v>10.824321600000001</c:v>
                </c:pt>
                <c:pt idx="5">
                  <c:v>11.040808032000001</c:v>
                </c:pt>
                <c:pt idx="6">
                  <c:v>11.261624192640001</c:v>
                </c:pt>
                <c:pt idx="7">
                  <c:v>11.4868566764928</c:v>
                </c:pt>
                <c:pt idx="8">
                  <c:v>11.716593810022657</c:v>
                </c:pt>
                <c:pt idx="9">
                  <c:v>11.95092568622311</c:v>
                </c:pt>
                <c:pt idx="10">
                  <c:v>12.189944199947572</c:v>
                </c:pt>
                <c:pt idx="11">
                  <c:v>12.433743083946524</c:v>
                </c:pt>
                <c:pt idx="12">
                  <c:v>12.682417945625454</c:v>
                </c:pt>
                <c:pt idx="13">
                  <c:v>12.936066304537963</c:v>
                </c:pt>
                <c:pt idx="14">
                  <c:v>13.194787630628722</c:v>
                </c:pt>
                <c:pt idx="15">
                  <c:v>13.458683383241297</c:v>
                </c:pt>
                <c:pt idx="16">
                  <c:v>13.727857050906124</c:v>
                </c:pt>
                <c:pt idx="17">
                  <c:v>14.002414191924247</c:v>
                </c:pt>
                <c:pt idx="18">
                  <c:v>14.282462475762733</c:v>
                </c:pt>
                <c:pt idx="19">
                  <c:v>14.568111725277987</c:v>
                </c:pt>
                <c:pt idx="20">
                  <c:v>14.859473959783546</c:v>
                </c:pt>
                <c:pt idx="21">
                  <c:v>15.156663438979217</c:v>
                </c:pt>
                <c:pt idx="22">
                  <c:v>15.459796707758802</c:v>
                </c:pt>
                <c:pt idx="23">
                  <c:v>15.768992641913979</c:v>
                </c:pt>
                <c:pt idx="24">
                  <c:v>16.08437249475226</c:v>
                </c:pt>
                <c:pt idx="25">
                  <c:v>16.406059944647303</c:v>
                </c:pt>
                <c:pt idx="26">
                  <c:v>16.73418114354025</c:v>
                </c:pt>
                <c:pt idx="27">
                  <c:v>17.068864766411057</c:v>
                </c:pt>
                <c:pt idx="28">
                  <c:v>17.41024206173928</c:v>
                </c:pt>
                <c:pt idx="29">
                  <c:v>17.758446902974065</c:v>
                </c:pt>
                <c:pt idx="30">
                  <c:v>18.113615841033546</c:v>
                </c:pt>
                <c:pt idx="31">
                  <c:v>18.475888157854218</c:v>
                </c:pt>
                <c:pt idx="32">
                  <c:v>18.845405921011302</c:v>
                </c:pt>
                <c:pt idx="33">
                  <c:v>19.222314039431527</c:v>
                </c:pt>
                <c:pt idx="34">
                  <c:v>19.606760320220157</c:v>
                </c:pt>
                <c:pt idx="35">
                  <c:v>19.998895526624562</c:v>
                </c:pt>
                <c:pt idx="36">
                  <c:v>20.398873437157054</c:v>
                </c:pt>
                <c:pt idx="37">
                  <c:v>20.806850905900195</c:v>
                </c:pt>
                <c:pt idx="38">
                  <c:v>21.2229879240182</c:v>
                </c:pt>
                <c:pt idx="39">
                  <c:v>21.647447682498562</c:v>
                </c:pt>
                <c:pt idx="40">
                  <c:v>22.080396636148535</c:v>
                </c:pt>
                <c:pt idx="41">
                  <c:v>22.522004568871505</c:v>
                </c:pt>
              </c:numCache>
            </c:numRef>
          </c:xVal>
          <c:yVal>
            <c:numRef>
              <c:f>'EQ1'!$AE$116:$AE$157</c:f>
              <c:numCache>
                <c:ptCount val="42"/>
                <c:pt idx="0">
                  <c:v>-1.5122528253641576E-05</c:v>
                </c:pt>
                <c:pt idx="1">
                  <c:v>-1.5733609053825148E-05</c:v>
                </c:pt>
                <c:pt idx="2">
                  <c:v>-1.6369388283976605E-05</c:v>
                </c:pt>
                <c:pt idx="3">
                  <c:v>-1.7030864647438193E-05</c:v>
                </c:pt>
                <c:pt idx="4">
                  <c:v>-1.771907729164468E-05</c:v>
                </c:pt>
                <c:pt idx="5">
                  <c:v>-1.84351073784228E-05</c:v>
                </c:pt>
                <c:pt idx="6">
                  <c:v>-1.9180079867453514E-05</c:v>
                </c:pt>
                <c:pt idx="7">
                  <c:v>-1.9955165257101726E-05</c:v>
                </c:pt>
                <c:pt idx="8">
                  <c:v>-2.076158143182738E-05</c:v>
                </c:pt>
                <c:pt idx="9">
                  <c:v>-2.1600595566440006E-05</c:v>
                </c:pt>
                <c:pt idx="10">
                  <c:v>-2.247352617246179E-05</c:v>
                </c:pt>
                <c:pt idx="11">
                  <c:v>-2.3381745165806933E-05</c:v>
                </c:pt>
                <c:pt idx="12">
                  <c:v>-2.4326679984199018E-05</c:v>
                </c:pt>
                <c:pt idx="13">
                  <c:v>-2.5309815924856593E-05</c:v>
                </c:pt>
                <c:pt idx="14">
                  <c:v>-2.6332698432440793E-05</c:v>
                </c:pt>
                <c:pt idx="15">
                  <c:v>-2.7396935571744052E-05</c:v>
                </c:pt>
                <c:pt idx="16">
                  <c:v>-2.8504200543011393E-05</c:v>
                </c:pt>
                <c:pt idx="17">
                  <c:v>-2.965623438910825E-05</c:v>
                </c:pt>
                <c:pt idx="18">
                  <c:v>-3.085484866005572E-05</c:v>
                </c:pt>
                <c:pt idx="19">
                  <c:v>-3.210192838309922E-05</c:v>
                </c:pt>
                <c:pt idx="20">
                  <c:v>-3.3399434968828245E-05</c:v>
                </c:pt>
                <c:pt idx="21">
                  <c:v>-3.474940936598614E-05</c:v>
                </c:pt>
                <c:pt idx="22">
                  <c:v>-3.6153975266017824E-05</c:v>
                </c:pt>
                <c:pt idx="23">
                  <c:v>-3.761534252078036E-05</c:v>
                </c:pt>
                <c:pt idx="24">
                  <c:v>-3.9135810581569785E-05</c:v>
                </c:pt>
                <c:pt idx="25">
                  <c:v>-4.07177722081542E-05</c:v>
                </c:pt>
                <c:pt idx="26">
                  <c:v>-4.236371722043941E-05</c:v>
                </c:pt>
                <c:pt idx="27">
                  <c:v>-4.407623651303538E-05</c:v>
                </c:pt>
                <c:pt idx="28">
                  <c:v>-4.5858026133771546E-05</c:v>
                </c:pt>
                <c:pt idx="29">
                  <c:v>-4.771189156826949E-05</c:v>
                </c:pt>
                <c:pt idx="30">
                  <c:v>-4.9640752223467643E-05</c:v>
                </c:pt>
                <c:pt idx="31">
                  <c:v>-5.164764610299244E-05</c:v>
                </c:pt>
                <c:pt idx="32">
                  <c:v>-5.373573456779468E-05</c:v>
                </c:pt>
                <c:pt idx="33">
                  <c:v>-5.59083074733735E-05</c:v>
                </c:pt>
                <c:pt idx="34">
                  <c:v>-5.8168788349632905E-05</c:v>
                </c:pt>
                <c:pt idx="35">
                  <c:v>-6.052073991469342E-05</c:v>
                </c:pt>
                <c:pt idx="36">
                  <c:v>-6.296786970949597E-05</c:v>
                </c:pt>
                <c:pt idx="37">
                  <c:v>-6.551403611609885E-05</c:v>
                </c:pt>
                <c:pt idx="38">
                  <c:v>-6.816325443281812E-05</c:v>
                </c:pt>
                <c:pt idx="39">
                  <c:v>-7.091970337569364E-05</c:v>
                </c:pt>
                <c:pt idx="40">
                  <c:v>-7.378773175759079E-05</c:v>
                </c:pt>
                <c:pt idx="41">
                  <c:v>-7.677186543020298E-05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'EQ1'!$AF$115</c:f>
              <c:strCache>
                <c:ptCount val="1"/>
                <c:pt idx="0">
                  <c:v>CH1 Post-EQ2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'EQ1'!$R$116:$R$157</c:f>
              <c:numCache>
                <c:ptCount val="42"/>
                <c:pt idx="0">
                  <c:v>10</c:v>
                </c:pt>
                <c:pt idx="1">
                  <c:v>10.2</c:v>
                </c:pt>
                <c:pt idx="2">
                  <c:v>10.404</c:v>
                </c:pt>
                <c:pt idx="3">
                  <c:v>10.61208</c:v>
                </c:pt>
                <c:pt idx="4">
                  <c:v>10.824321600000001</c:v>
                </c:pt>
                <c:pt idx="5">
                  <c:v>11.040808032000001</c:v>
                </c:pt>
                <c:pt idx="6">
                  <c:v>11.261624192640001</c:v>
                </c:pt>
                <c:pt idx="7">
                  <c:v>11.4868566764928</c:v>
                </c:pt>
                <c:pt idx="8">
                  <c:v>11.716593810022657</c:v>
                </c:pt>
                <c:pt idx="9">
                  <c:v>11.95092568622311</c:v>
                </c:pt>
                <c:pt idx="10">
                  <c:v>12.189944199947572</c:v>
                </c:pt>
                <c:pt idx="11">
                  <c:v>12.433743083946524</c:v>
                </c:pt>
                <c:pt idx="12">
                  <c:v>12.682417945625454</c:v>
                </c:pt>
                <c:pt idx="13">
                  <c:v>12.936066304537963</c:v>
                </c:pt>
                <c:pt idx="14">
                  <c:v>13.194787630628722</c:v>
                </c:pt>
                <c:pt idx="15">
                  <c:v>13.458683383241297</c:v>
                </c:pt>
                <c:pt idx="16">
                  <c:v>13.727857050906124</c:v>
                </c:pt>
                <c:pt idx="17">
                  <c:v>14.002414191924247</c:v>
                </c:pt>
                <c:pt idx="18">
                  <c:v>14.282462475762733</c:v>
                </c:pt>
                <c:pt idx="19">
                  <c:v>14.568111725277987</c:v>
                </c:pt>
                <c:pt idx="20">
                  <c:v>14.859473959783546</c:v>
                </c:pt>
                <c:pt idx="21">
                  <c:v>15.156663438979217</c:v>
                </c:pt>
                <c:pt idx="22">
                  <c:v>15.459796707758802</c:v>
                </c:pt>
                <c:pt idx="23">
                  <c:v>15.768992641913979</c:v>
                </c:pt>
                <c:pt idx="24">
                  <c:v>16.08437249475226</c:v>
                </c:pt>
                <c:pt idx="25">
                  <c:v>16.406059944647303</c:v>
                </c:pt>
                <c:pt idx="26">
                  <c:v>16.73418114354025</c:v>
                </c:pt>
                <c:pt idx="27">
                  <c:v>17.068864766411057</c:v>
                </c:pt>
                <c:pt idx="28">
                  <c:v>17.41024206173928</c:v>
                </c:pt>
                <c:pt idx="29">
                  <c:v>17.758446902974065</c:v>
                </c:pt>
                <c:pt idx="30">
                  <c:v>18.113615841033546</c:v>
                </c:pt>
                <c:pt idx="31">
                  <c:v>18.475888157854218</c:v>
                </c:pt>
                <c:pt idx="32">
                  <c:v>18.845405921011302</c:v>
                </c:pt>
                <c:pt idx="33">
                  <c:v>19.222314039431527</c:v>
                </c:pt>
                <c:pt idx="34">
                  <c:v>19.606760320220157</c:v>
                </c:pt>
                <c:pt idx="35">
                  <c:v>19.998895526624562</c:v>
                </c:pt>
                <c:pt idx="36">
                  <c:v>20.398873437157054</c:v>
                </c:pt>
                <c:pt idx="37">
                  <c:v>20.806850905900195</c:v>
                </c:pt>
                <c:pt idx="38">
                  <c:v>21.2229879240182</c:v>
                </c:pt>
                <c:pt idx="39">
                  <c:v>21.647447682498562</c:v>
                </c:pt>
                <c:pt idx="40">
                  <c:v>22.080396636148535</c:v>
                </c:pt>
                <c:pt idx="41">
                  <c:v>22.522004568871505</c:v>
                </c:pt>
              </c:numCache>
            </c:numRef>
          </c:xVal>
          <c:yVal>
            <c:numRef>
              <c:f>'EQ1'!$AF$116:$AF$157</c:f>
              <c:numCache>
                <c:ptCount val="42"/>
                <c:pt idx="0">
                  <c:v>0.0023211591513216945</c:v>
                </c:pt>
                <c:pt idx="1">
                  <c:v>0.0024149280124916572</c:v>
                </c:pt>
                <c:pt idx="2">
                  <c:v>0.0025124846438018267</c:v>
                </c:pt>
                <c:pt idx="3">
                  <c:v>0.0026139820306312345</c:v>
                </c:pt>
                <c:pt idx="4">
                  <c:v>0.0027195793356469267</c:v>
                </c:pt>
                <c:pt idx="5">
                  <c:v>0.0028294421480623555</c:v>
                </c:pt>
                <c:pt idx="6">
                  <c:v>0.002943742742985478</c:v>
                </c:pt>
                <c:pt idx="7">
                  <c:v>0.0030626603512118322</c:v>
                </c:pt>
                <c:pt idx="8">
                  <c:v>0.0031863814398818135</c:v>
                </c:pt>
                <c:pt idx="9">
                  <c:v>0.003315100004428473</c:v>
                </c:pt>
                <c:pt idx="10">
                  <c:v>0.003449017872355853</c:v>
                </c:pt>
                <c:pt idx="11">
                  <c:v>0.0035883450191818156</c:v>
                </c:pt>
                <c:pt idx="12">
                  <c:v>0.0037332998971635334</c:v>
                </c:pt>
                <c:pt idx="13">
                  <c:v>0.0038841097772035482</c:v>
                </c:pt>
                <c:pt idx="14">
                  <c:v>0.004041011104597203</c:v>
                </c:pt>
                <c:pt idx="15">
                  <c:v>0.004204249869047771</c:v>
                </c:pt>
                <c:pt idx="16">
                  <c:v>0.0043740819896314065</c:v>
                </c:pt>
                <c:pt idx="17">
                  <c:v>0.0045507737152234995</c:v>
                </c:pt>
                <c:pt idx="18">
                  <c:v>0.004734602041018832</c:v>
                </c:pt>
                <c:pt idx="19">
                  <c:v>0.004925855141912905</c:v>
                </c:pt>
                <c:pt idx="20">
                  <c:v>0.005124832823227621</c:v>
                </c:pt>
                <c:pt idx="21">
                  <c:v>0.005331846989584221</c:v>
                </c:pt>
                <c:pt idx="22">
                  <c:v>0.005547222132733509</c:v>
                </c:pt>
                <c:pt idx="23">
                  <c:v>0.00577129583885494</c:v>
                </c:pt>
                <c:pt idx="24">
                  <c:v>0.006004419316390397</c:v>
                </c:pt>
                <c:pt idx="25">
                  <c:v>0.0062469579450095125</c:v>
                </c:pt>
                <c:pt idx="26">
                  <c:v>0.006499291846722599</c:v>
                </c:pt>
                <c:pt idx="27">
                  <c:v>0.0067618164799014835</c:v>
                </c:pt>
                <c:pt idx="28">
                  <c:v>0.007034943257124837</c:v>
                </c:pt>
                <c:pt idx="29">
                  <c:v>0.0073191001879635564</c:v>
                </c:pt>
                <c:pt idx="30">
                  <c:v>0.007614732547494896</c:v>
                </c:pt>
                <c:pt idx="31">
                  <c:v>0.0079223035716538</c:v>
                </c:pt>
                <c:pt idx="32">
                  <c:v>0.008242295180579617</c:v>
                </c:pt>
                <c:pt idx="33">
                  <c:v>0.008575208730938755</c:v>
                </c:pt>
                <c:pt idx="34">
                  <c:v>0.008921565798395648</c:v>
                </c:pt>
                <c:pt idx="35">
                  <c:v>0.009281908991567889</c:v>
                </c:pt>
                <c:pt idx="36">
                  <c:v>0.009656802798616582</c:v>
                </c:pt>
                <c:pt idx="37">
                  <c:v>0.010046834467623</c:v>
                </c:pt>
                <c:pt idx="38">
                  <c:v>0.010452614922478176</c:v>
                </c:pt>
                <c:pt idx="39">
                  <c:v>0.010874779715301486</c:v>
                </c:pt>
                <c:pt idx="40">
                  <c:v>0.011313990017072229</c:v>
                </c:pt>
                <c:pt idx="41">
                  <c:v>0.011770933647937909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'EQ1'!$AG$115</c:f>
              <c:strCache>
                <c:ptCount val="1"/>
                <c:pt idx="0">
                  <c:v>CH1 Post-EQ3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'EQ1'!$R$116:$R$157</c:f>
              <c:numCache>
                <c:ptCount val="42"/>
                <c:pt idx="0">
                  <c:v>10</c:v>
                </c:pt>
                <c:pt idx="1">
                  <c:v>10.2</c:v>
                </c:pt>
                <c:pt idx="2">
                  <c:v>10.404</c:v>
                </c:pt>
                <c:pt idx="3">
                  <c:v>10.61208</c:v>
                </c:pt>
                <c:pt idx="4">
                  <c:v>10.824321600000001</c:v>
                </c:pt>
                <c:pt idx="5">
                  <c:v>11.040808032000001</c:v>
                </c:pt>
                <c:pt idx="6">
                  <c:v>11.261624192640001</c:v>
                </c:pt>
                <c:pt idx="7">
                  <c:v>11.4868566764928</c:v>
                </c:pt>
                <c:pt idx="8">
                  <c:v>11.716593810022657</c:v>
                </c:pt>
                <c:pt idx="9">
                  <c:v>11.95092568622311</c:v>
                </c:pt>
                <c:pt idx="10">
                  <c:v>12.189944199947572</c:v>
                </c:pt>
                <c:pt idx="11">
                  <c:v>12.433743083946524</c:v>
                </c:pt>
                <c:pt idx="12">
                  <c:v>12.682417945625454</c:v>
                </c:pt>
                <c:pt idx="13">
                  <c:v>12.936066304537963</c:v>
                </c:pt>
                <c:pt idx="14">
                  <c:v>13.194787630628722</c:v>
                </c:pt>
                <c:pt idx="15">
                  <c:v>13.458683383241297</c:v>
                </c:pt>
                <c:pt idx="16">
                  <c:v>13.727857050906124</c:v>
                </c:pt>
                <c:pt idx="17">
                  <c:v>14.002414191924247</c:v>
                </c:pt>
                <c:pt idx="18">
                  <c:v>14.282462475762733</c:v>
                </c:pt>
                <c:pt idx="19">
                  <c:v>14.568111725277987</c:v>
                </c:pt>
                <c:pt idx="20">
                  <c:v>14.859473959783546</c:v>
                </c:pt>
                <c:pt idx="21">
                  <c:v>15.156663438979217</c:v>
                </c:pt>
                <c:pt idx="22">
                  <c:v>15.459796707758802</c:v>
                </c:pt>
                <c:pt idx="23">
                  <c:v>15.768992641913979</c:v>
                </c:pt>
                <c:pt idx="24">
                  <c:v>16.08437249475226</c:v>
                </c:pt>
                <c:pt idx="25">
                  <c:v>16.406059944647303</c:v>
                </c:pt>
                <c:pt idx="26">
                  <c:v>16.73418114354025</c:v>
                </c:pt>
                <c:pt idx="27">
                  <c:v>17.068864766411057</c:v>
                </c:pt>
                <c:pt idx="28">
                  <c:v>17.41024206173928</c:v>
                </c:pt>
                <c:pt idx="29">
                  <c:v>17.758446902974065</c:v>
                </c:pt>
                <c:pt idx="30">
                  <c:v>18.113615841033546</c:v>
                </c:pt>
                <c:pt idx="31">
                  <c:v>18.475888157854218</c:v>
                </c:pt>
                <c:pt idx="32">
                  <c:v>18.845405921011302</c:v>
                </c:pt>
                <c:pt idx="33">
                  <c:v>19.222314039431527</c:v>
                </c:pt>
                <c:pt idx="34">
                  <c:v>19.606760320220157</c:v>
                </c:pt>
                <c:pt idx="35">
                  <c:v>19.998895526624562</c:v>
                </c:pt>
                <c:pt idx="36">
                  <c:v>20.398873437157054</c:v>
                </c:pt>
                <c:pt idx="37">
                  <c:v>20.806850905900195</c:v>
                </c:pt>
                <c:pt idx="38">
                  <c:v>21.2229879240182</c:v>
                </c:pt>
                <c:pt idx="39">
                  <c:v>21.647447682498562</c:v>
                </c:pt>
                <c:pt idx="40">
                  <c:v>22.080396636148535</c:v>
                </c:pt>
                <c:pt idx="41">
                  <c:v>22.522004568871505</c:v>
                </c:pt>
              </c:numCache>
            </c:numRef>
          </c:xVal>
          <c:yVal>
            <c:numRef>
              <c:f>'EQ1'!$AG$116:$AG$157</c:f>
              <c:numCache>
                <c:ptCount val="42"/>
                <c:pt idx="0">
                  <c:v>-3.925821306477758</c:v>
                </c:pt>
                <c:pt idx="1">
                  <c:v>-3.9159916535719006</c:v>
                </c:pt>
                <c:pt idx="2">
                  <c:v>-3.9057994915511927</c:v>
                </c:pt>
                <c:pt idx="3">
                  <c:v>-3.8952328046055413</c:v>
                </c:pt>
                <c:pt idx="4">
                  <c:v>-3.8842792823038934</c:v>
                </c:pt>
                <c:pt idx="5">
                  <c:v>-3.872926320500042</c:v>
                </c:pt>
                <c:pt idx="6">
                  <c:v>-3.8611610230164572</c:v>
                </c:pt>
                <c:pt idx="7">
                  <c:v>-3.848970204167088</c:v>
                </c:pt>
                <c:pt idx="8">
                  <c:v>-3.8363403921821373</c:v>
                </c:pt>
                <c:pt idx="9">
                  <c:v>-3.823257833599662</c:v>
                </c:pt>
                <c:pt idx="10">
                  <c:v>-3.8097084986907035</c:v>
                </c:pt>
                <c:pt idx="11">
                  <c:v>-3.7956780879859124</c:v>
                </c:pt>
                <c:pt idx="12">
                  <c:v>-3.781152039973044</c:v>
                </c:pt>
                <c:pt idx="13">
                  <c:v>-3.7661155400355426</c:v>
                </c:pt>
                <c:pt idx="14">
                  <c:v>-3.750553530703016</c:v>
                </c:pt>
                <c:pt idx="15">
                  <c:v>-3.7344507232845388</c:v>
                </c:pt>
                <c:pt idx="16">
                  <c:v>-3.71779161095548</c:v>
                </c:pt>
                <c:pt idx="17">
                  <c:v>-3.7005604833679513</c:v>
                </c:pt>
                <c:pt idx="18">
                  <c:v>-3.6827414428532776</c:v>
                </c:pt>
                <c:pt idx="19">
                  <c:v>-3.6643184222836567</c:v>
                </c:pt>
                <c:pt idx="20">
                  <c:v>-3.645275204656791</c:v>
                </c:pt>
                <c:pt idx="21">
                  <c:v>-3.6255954444651692</c:v>
                </c:pt>
                <c:pt idx="22">
                  <c:v>-3.6052626909064784</c:v>
                </c:pt>
                <c:pt idx="23">
                  <c:v>-3.5842604129881934</c:v>
                </c:pt>
                <c:pt idx="24">
                  <c:v>-3.5625720265726812</c:v>
                </c:pt>
                <c:pt idx="25">
                  <c:v>-3.5401809234035895</c:v>
                </c:pt>
                <c:pt idx="26">
                  <c:v>-3.5170705021464954</c:v>
                </c:pt>
                <c:pt idx="27">
                  <c:v>-3.4932242014687205</c:v>
                </c:pt>
                <c:pt idx="28">
                  <c:v>-3.468625535174084</c:v>
                </c:pt>
                <c:pt idx="29">
                  <c:v>-3.4432581293979183</c:v>
                </c:pt>
                <c:pt idx="30">
                  <c:v>-3.417105761856952</c:v>
                </c:pt>
                <c:pt idx="31">
                  <c:v>-3.390152403136213</c:v>
                </c:pt>
                <c:pt idx="32">
                  <c:v>-3.362382259982226</c:v>
                </c:pt>
                <c:pt idx="33">
                  <c:v>-3.333779820557993</c:v>
                </c:pt>
                <c:pt idx="34">
                  <c:v>-3.3043299016000773</c:v>
                </c:pt>
                <c:pt idx="35">
                  <c:v>-3.2740176974028685</c:v>
                </c:pt>
                <c:pt idx="36">
                  <c:v>-3.242828830538592</c:v>
                </c:pt>
                <c:pt idx="37">
                  <c:v>-3.210749404204684</c:v>
                </c:pt>
                <c:pt idx="38">
                  <c:v>-3.1777660560729046</c:v>
                </c:pt>
                <c:pt idx="39">
                  <c:v>-3.14386601349608</c:v>
                </c:pt>
                <c:pt idx="40">
                  <c:v>-3.109037149911188</c:v>
                </c:pt>
                <c:pt idx="41">
                  <c:v>-3.073268042258263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'EQ1'!$AH$115</c:f>
              <c:strCache>
                <c:ptCount val="1"/>
                <c:pt idx="0">
                  <c:v>CH1 Post-EQ4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'EQ1'!$R$116:$R$157</c:f>
              <c:numCache>
                <c:ptCount val="42"/>
                <c:pt idx="0">
                  <c:v>10</c:v>
                </c:pt>
                <c:pt idx="1">
                  <c:v>10.2</c:v>
                </c:pt>
                <c:pt idx="2">
                  <c:v>10.404</c:v>
                </c:pt>
                <c:pt idx="3">
                  <c:v>10.61208</c:v>
                </c:pt>
                <c:pt idx="4">
                  <c:v>10.824321600000001</c:v>
                </c:pt>
                <c:pt idx="5">
                  <c:v>11.040808032000001</c:v>
                </c:pt>
                <c:pt idx="6">
                  <c:v>11.261624192640001</c:v>
                </c:pt>
                <c:pt idx="7">
                  <c:v>11.4868566764928</c:v>
                </c:pt>
                <c:pt idx="8">
                  <c:v>11.716593810022657</c:v>
                </c:pt>
                <c:pt idx="9">
                  <c:v>11.95092568622311</c:v>
                </c:pt>
                <c:pt idx="10">
                  <c:v>12.189944199947572</c:v>
                </c:pt>
                <c:pt idx="11">
                  <c:v>12.433743083946524</c:v>
                </c:pt>
                <c:pt idx="12">
                  <c:v>12.682417945625454</c:v>
                </c:pt>
                <c:pt idx="13">
                  <c:v>12.936066304537963</c:v>
                </c:pt>
                <c:pt idx="14">
                  <c:v>13.194787630628722</c:v>
                </c:pt>
                <c:pt idx="15">
                  <c:v>13.458683383241297</c:v>
                </c:pt>
                <c:pt idx="16">
                  <c:v>13.727857050906124</c:v>
                </c:pt>
                <c:pt idx="17">
                  <c:v>14.002414191924247</c:v>
                </c:pt>
                <c:pt idx="18">
                  <c:v>14.282462475762733</c:v>
                </c:pt>
                <c:pt idx="19">
                  <c:v>14.568111725277987</c:v>
                </c:pt>
                <c:pt idx="20">
                  <c:v>14.859473959783546</c:v>
                </c:pt>
                <c:pt idx="21">
                  <c:v>15.156663438979217</c:v>
                </c:pt>
                <c:pt idx="22">
                  <c:v>15.459796707758802</c:v>
                </c:pt>
                <c:pt idx="23">
                  <c:v>15.768992641913979</c:v>
                </c:pt>
                <c:pt idx="24">
                  <c:v>16.08437249475226</c:v>
                </c:pt>
                <c:pt idx="25">
                  <c:v>16.406059944647303</c:v>
                </c:pt>
                <c:pt idx="26">
                  <c:v>16.73418114354025</c:v>
                </c:pt>
                <c:pt idx="27">
                  <c:v>17.068864766411057</c:v>
                </c:pt>
                <c:pt idx="28">
                  <c:v>17.41024206173928</c:v>
                </c:pt>
                <c:pt idx="29">
                  <c:v>17.758446902974065</c:v>
                </c:pt>
                <c:pt idx="30">
                  <c:v>18.113615841033546</c:v>
                </c:pt>
                <c:pt idx="31">
                  <c:v>18.475888157854218</c:v>
                </c:pt>
                <c:pt idx="32">
                  <c:v>18.845405921011302</c:v>
                </c:pt>
                <c:pt idx="33">
                  <c:v>19.222314039431527</c:v>
                </c:pt>
                <c:pt idx="34">
                  <c:v>19.606760320220157</c:v>
                </c:pt>
                <c:pt idx="35">
                  <c:v>19.998895526624562</c:v>
                </c:pt>
                <c:pt idx="36">
                  <c:v>20.398873437157054</c:v>
                </c:pt>
                <c:pt idx="37">
                  <c:v>20.806850905900195</c:v>
                </c:pt>
                <c:pt idx="38">
                  <c:v>21.2229879240182</c:v>
                </c:pt>
                <c:pt idx="39">
                  <c:v>21.647447682498562</c:v>
                </c:pt>
                <c:pt idx="40">
                  <c:v>22.080396636148535</c:v>
                </c:pt>
                <c:pt idx="41">
                  <c:v>22.522004568871505</c:v>
                </c:pt>
              </c:numCache>
            </c:numRef>
          </c:xVal>
          <c:yVal>
            <c:numRef>
              <c:f>'EQ1'!$AH$116:$AH$157</c:f>
              <c:numCache>
                <c:ptCount val="42"/>
                <c:pt idx="0">
                  <c:v>0.051248130079269316</c:v>
                </c:pt>
                <c:pt idx="1">
                  <c:v>0.05125066759165264</c:v>
                </c:pt>
                <c:pt idx="2">
                  <c:v>0.05125330762359326</c:v>
                </c:pt>
                <c:pt idx="3">
                  <c:v>0.05125605431721425</c:v>
                </c:pt>
                <c:pt idx="4">
                  <c:v>0.05125891198202126</c:v>
                </c:pt>
                <c:pt idx="5">
                  <c:v>0.05126188510162777</c:v>
                </c:pt>
                <c:pt idx="6">
                  <c:v>0.051264978340835654</c:v>
                </c:pt>
                <c:pt idx="7">
                  <c:v>0.05126819655293957</c:v>
                </c:pt>
                <c:pt idx="8">
                  <c:v>0.05127154478734042</c:v>
                </c:pt>
                <c:pt idx="9">
                  <c:v>0.05127502829747144</c:v>
                </c:pt>
                <c:pt idx="10">
                  <c:v>0.05127865254906183</c:v>
                </c:pt>
                <c:pt idx="11">
                  <c:v>0.051282423228698804</c:v>
                </c:pt>
                <c:pt idx="12">
                  <c:v>0.051286346252748416</c:v>
                </c:pt>
                <c:pt idx="13">
                  <c:v>0.051290427776663705</c:v>
                </c:pt>
                <c:pt idx="14">
                  <c:v>0.05129467420464806</c:v>
                </c:pt>
                <c:pt idx="15">
                  <c:v>0.051299092199680985</c:v>
                </c:pt>
                <c:pt idx="16">
                  <c:v>0.051303688694023464</c:v>
                </c:pt>
                <c:pt idx="17">
                  <c:v>0.05130847090004664</c:v>
                </c:pt>
                <c:pt idx="18">
                  <c:v>0.05131344632160406</c:v>
                </c:pt>
                <c:pt idx="19">
                  <c:v>0.05131862276579113</c:v>
                </c:pt>
                <c:pt idx="20">
                  <c:v>0.051324008355209116</c:v>
                </c:pt>
                <c:pt idx="21">
                  <c:v>0.0513296115407158</c:v>
                </c:pt>
                <c:pt idx="22">
                  <c:v>0.05133544111470201</c:v>
                </c:pt>
                <c:pt idx="23">
                  <c:v>0.051341506224897415</c:v>
                </c:pt>
                <c:pt idx="24">
                  <c:v>0.05134781638871644</c:v>
                </c:pt>
                <c:pt idx="25">
                  <c:v>0.05135438150825422</c:v>
                </c:pt>
                <c:pt idx="26">
                  <c:v>0.05136121188577647</c:v>
                </c:pt>
                <c:pt idx="27">
                  <c:v>0.051368318239951805</c:v>
                </c:pt>
                <c:pt idx="28">
                  <c:v>0.051375711722659645</c:v>
                </c:pt>
                <c:pt idx="29">
                  <c:v>0.05138340393651575</c:v>
                </c:pt>
                <c:pt idx="30">
                  <c:v>0.051391406953094076</c:v>
                </c:pt>
                <c:pt idx="31">
                  <c:v>0.05139973333189829</c:v>
                </c:pt>
                <c:pt idx="32">
                  <c:v>0.05140839614009707</c:v>
                </c:pt>
                <c:pt idx="33">
                  <c:v>0.05141740897303393</c:v>
                </c:pt>
                <c:pt idx="34">
                  <c:v>0.051426785975614564</c:v>
                </c:pt>
                <c:pt idx="35">
                  <c:v>0.051436541864493535</c:v>
                </c:pt>
                <c:pt idx="36">
                  <c:v>0.05144669195126639</c:v>
                </c:pt>
                <c:pt idx="37">
                  <c:v>0.051457252166454026</c:v>
                </c:pt>
                <c:pt idx="38">
                  <c:v>0.05146823908460263</c:v>
                </c:pt>
                <c:pt idx="39">
                  <c:v>0.05147966995031439</c:v>
                </c:pt>
                <c:pt idx="40">
                  <c:v>0.051491562705336946</c:v>
                </c:pt>
                <c:pt idx="41">
                  <c:v>0.0515039360167755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'EQ1'!$AI$115</c:f>
              <c:strCache>
                <c:ptCount val="1"/>
                <c:pt idx="0">
                  <c:v>CH1 Post-EQ5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'EQ1'!$R$116:$R$499</c:f>
              <c:numCache>
                <c:ptCount val="384"/>
                <c:pt idx="0">
                  <c:v>10</c:v>
                </c:pt>
                <c:pt idx="1">
                  <c:v>10.2</c:v>
                </c:pt>
                <c:pt idx="2">
                  <c:v>10.404</c:v>
                </c:pt>
                <c:pt idx="3">
                  <c:v>10.61208</c:v>
                </c:pt>
                <c:pt idx="4">
                  <c:v>10.824321600000001</c:v>
                </c:pt>
                <c:pt idx="5">
                  <c:v>11.040808032000001</c:v>
                </c:pt>
                <c:pt idx="6">
                  <c:v>11.261624192640001</c:v>
                </c:pt>
                <c:pt idx="7">
                  <c:v>11.4868566764928</c:v>
                </c:pt>
                <c:pt idx="8">
                  <c:v>11.716593810022657</c:v>
                </c:pt>
                <c:pt idx="9">
                  <c:v>11.95092568622311</c:v>
                </c:pt>
                <c:pt idx="10">
                  <c:v>12.189944199947572</c:v>
                </c:pt>
                <c:pt idx="11">
                  <c:v>12.433743083946524</c:v>
                </c:pt>
                <c:pt idx="12">
                  <c:v>12.682417945625454</c:v>
                </c:pt>
                <c:pt idx="13">
                  <c:v>12.936066304537963</c:v>
                </c:pt>
                <c:pt idx="14">
                  <c:v>13.194787630628722</c:v>
                </c:pt>
                <c:pt idx="15">
                  <c:v>13.458683383241297</c:v>
                </c:pt>
                <c:pt idx="16">
                  <c:v>13.727857050906124</c:v>
                </c:pt>
                <c:pt idx="17">
                  <c:v>14.002414191924247</c:v>
                </c:pt>
                <c:pt idx="18">
                  <c:v>14.282462475762733</c:v>
                </c:pt>
                <c:pt idx="19">
                  <c:v>14.568111725277987</c:v>
                </c:pt>
                <c:pt idx="20">
                  <c:v>14.859473959783546</c:v>
                </c:pt>
                <c:pt idx="21">
                  <c:v>15.156663438979217</c:v>
                </c:pt>
                <c:pt idx="22">
                  <c:v>15.459796707758802</c:v>
                </c:pt>
                <c:pt idx="23">
                  <c:v>15.768992641913979</c:v>
                </c:pt>
                <c:pt idx="24">
                  <c:v>16.08437249475226</c:v>
                </c:pt>
                <c:pt idx="25">
                  <c:v>16.406059944647303</c:v>
                </c:pt>
                <c:pt idx="26">
                  <c:v>16.73418114354025</c:v>
                </c:pt>
                <c:pt idx="27">
                  <c:v>17.068864766411057</c:v>
                </c:pt>
                <c:pt idx="28">
                  <c:v>17.41024206173928</c:v>
                </c:pt>
                <c:pt idx="29">
                  <c:v>17.758446902974065</c:v>
                </c:pt>
                <c:pt idx="30">
                  <c:v>18.113615841033546</c:v>
                </c:pt>
                <c:pt idx="31">
                  <c:v>18.475888157854218</c:v>
                </c:pt>
                <c:pt idx="32">
                  <c:v>18.845405921011302</c:v>
                </c:pt>
                <c:pt idx="33">
                  <c:v>19.222314039431527</c:v>
                </c:pt>
                <c:pt idx="34">
                  <c:v>19.606760320220157</c:v>
                </c:pt>
                <c:pt idx="35">
                  <c:v>19.998895526624562</c:v>
                </c:pt>
                <c:pt idx="36">
                  <c:v>20.398873437157054</c:v>
                </c:pt>
                <c:pt idx="37">
                  <c:v>20.806850905900195</c:v>
                </c:pt>
                <c:pt idx="38">
                  <c:v>21.2229879240182</c:v>
                </c:pt>
                <c:pt idx="39">
                  <c:v>21.647447682498562</c:v>
                </c:pt>
                <c:pt idx="40">
                  <c:v>22.080396636148535</c:v>
                </c:pt>
                <c:pt idx="41">
                  <c:v>22.522004568871505</c:v>
                </c:pt>
                <c:pt idx="42">
                  <c:v>22.972444660248936</c:v>
                </c:pt>
                <c:pt idx="43">
                  <c:v>23.431893553453914</c:v>
                </c:pt>
                <c:pt idx="44">
                  <c:v>23.900531424522992</c:v>
                </c:pt>
                <c:pt idx="45">
                  <c:v>24.37854205301345</c:v>
                </c:pt>
                <c:pt idx="46">
                  <c:v>24.86611289407372</c:v>
                </c:pt>
                <c:pt idx="47">
                  <c:v>25.363435151955194</c:v>
                </c:pt>
                <c:pt idx="48">
                  <c:v>25.8707038549943</c:v>
                </c:pt>
                <c:pt idx="49">
                  <c:v>26.388117932094186</c:v>
                </c:pt>
                <c:pt idx="50">
                  <c:v>26.91588029073607</c:v>
                </c:pt>
                <c:pt idx="51">
                  <c:v>27.45419789655079</c:v>
                </c:pt>
                <c:pt idx="52">
                  <c:v>28.00328185448181</c:v>
                </c:pt>
                <c:pt idx="53">
                  <c:v>28.563347491571445</c:v>
                </c:pt>
                <c:pt idx="54">
                  <c:v>29.134614441402874</c:v>
                </c:pt>
                <c:pt idx="55">
                  <c:v>29.71730673023093</c:v>
                </c:pt>
                <c:pt idx="56">
                  <c:v>30.31165286483555</c:v>
                </c:pt>
                <c:pt idx="57">
                  <c:v>30.917885922132264</c:v>
                </c:pt>
                <c:pt idx="58">
                  <c:v>31.53624364057491</c:v>
                </c:pt>
                <c:pt idx="59">
                  <c:v>32.16696851338641</c:v>
                </c:pt>
                <c:pt idx="60">
                  <c:v>32.81030788365414</c:v>
                </c:pt>
                <c:pt idx="61">
                  <c:v>33.46651404132722</c:v>
                </c:pt>
                <c:pt idx="62">
                  <c:v>34.135844322153766</c:v>
                </c:pt>
                <c:pt idx="63">
                  <c:v>34.81856120859684</c:v>
                </c:pt>
                <c:pt idx="64">
                  <c:v>35.51493243276878</c:v>
                </c:pt>
                <c:pt idx="65">
                  <c:v>36.225231081424155</c:v>
                </c:pt>
                <c:pt idx="66">
                  <c:v>36.94973570305264</c:v>
                </c:pt>
                <c:pt idx="67">
                  <c:v>37.68873041711369</c:v>
                </c:pt>
                <c:pt idx="68">
                  <c:v>38.442505025455965</c:v>
                </c:pt>
                <c:pt idx="69">
                  <c:v>39.211355125965085</c:v>
                </c:pt>
                <c:pt idx="70">
                  <c:v>39.99558222848439</c:v>
                </c:pt>
                <c:pt idx="71">
                  <c:v>40.79549387305408</c:v>
                </c:pt>
                <c:pt idx="72">
                  <c:v>41.61140375051516</c:v>
                </c:pt>
                <c:pt idx="73">
                  <c:v>42.443631825525465</c:v>
                </c:pt>
                <c:pt idx="74">
                  <c:v>43.29250446203597</c:v>
                </c:pt>
                <c:pt idx="75">
                  <c:v>44.158354551276695</c:v>
                </c:pt>
                <c:pt idx="76">
                  <c:v>45.04152164230223</c:v>
                </c:pt>
                <c:pt idx="77">
                  <c:v>45.94235207514827</c:v>
                </c:pt>
                <c:pt idx="78">
                  <c:v>46.861199116651235</c:v>
                </c:pt>
                <c:pt idx="79">
                  <c:v>47.79842309898426</c:v>
                </c:pt>
                <c:pt idx="80">
                  <c:v>48.754391560963946</c:v>
                </c:pt>
                <c:pt idx="81">
                  <c:v>49.72947939218322</c:v>
                </c:pt>
                <c:pt idx="82">
                  <c:v>50.724068980026885</c:v>
                </c:pt>
                <c:pt idx="83">
                  <c:v>51.738550359627425</c:v>
                </c:pt>
                <c:pt idx="84">
                  <c:v>52.77332136681997</c:v>
                </c:pt>
                <c:pt idx="85">
                  <c:v>53.82878779415637</c:v>
                </c:pt>
                <c:pt idx="86">
                  <c:v>54.905363550039496</c:v>
                </c:pt>
                <c:pt idx="87">
                  <c:v>56.00347082104029</c:v>
                </c:pt>
                <c:pt idx="88">
                  <c:v>57.12354023746109</c:v>
                </c:pt>
                <c:pt idx="89">
                  <c:v>58.266011042210316</c:v>
                </c:pt>
                <c:pt idx="90">
                  <c:v>59.431331263054524</c:v>
                </c:pt>
                <c:pt idx="91">
                  <c:v>60.61995788831562</c:v>
                </c:pt>
                <c:pt idx="92">
                  <c:v>61.83235704608193</c:v>
                </c:pt>
                <c:pt idx="93">
                  <c:v>63.06900418700357</c:v>
                </c:pt>
                <c:pt idx="94">
                  <c:v>64.33038427074365</c:v>
                </c:pt>
                <c:pt idx="95">
                  <c:v>65.61699195615853</c:v>
                </c:pt>
                <c:pt idx="96">
                  <c:v>66.9293317952817</c:v>
                </c:pt>
                <c:pt idx="97">
                  <c:v>68.26791843118734</c:v>
                </c:pt>
                <c:pt idx="98">
                  <c:v>69.63327679981109</c:v>
                </c:pt>
                <c:pt idx="99">
                  <c:v>71.02594233580731</c:v>
                </c:pt>
                <c:pt idx="100">
                  <c:v>72.44646118252346</c:v>
                </c:pt>
                <c:pt idx="101">
                  <c:v>73.89539040617393</c:v>
                </c:pt>
                <c:pt idx="102">
                  <c:v>75.3732982142974</c:v>
                </c:pt>
                <c:pt idx="103">
                  <c:v>76.88076417858336</c:v>
                </c:pt>
                <c:pt idx="104">
                  <c:v>78.41837946215503</c:v>
                </c:pt>
                <c:pt idx="105">
                  <c:v>79.98674705139813</c:v>
                </c:pt>
                <c:pt idx="106">
                  <c:v>81.58648199242609</c:v>
                </c:pt>
                <c:pt idx="107">
                  <c:v>83.21821163227462</c:v>
                </c:pt>
                <c:pt idx="108">
                  <c:v>84.88257586492011</c:v>
                </c:pt>
                <c:pt idx="109">
                  <c:v>86.58022738221852</c:v>
                </c:pt>
                <c:pt idx="110">
                  <c:v>88.31183192986289</c:v>
                </c:pt>
                <c:pt idx="111">
                  <c:v>90.07806856846015</c:v>
                </c:pt>
                <c:pt idx="112">
                  <c:v>91.87962993982936</c:v>
                </c:pt>
                <c:pt idx="113">
                  <c:v>93.71722253862595</c:v>
                </c:pt>
                <c:pt idx="114">
                  <c:v>95.59156698939847</c:v>
                </c:pt>
                <c:pt idx="115">
                  <c:v>97.50339832918644</c:v>
                </c:pt>
                <c:pt idx="116">
                  <c:v>99.45346629577017</c:v>
                </c:pt>
                <c:pt idx="117">
                  <c:v>101.44253562168558</c:v>
                </c:pt>
                <c:pt idx="118">
                  <c:v>103.47138633411929</c:v>
                </c:pt>
                <c:pt idx="119">
                  <c:v>105.54081406080168</c:v>
                </c:pt>
                <c:pt idx="120">
                  <c:v>107.65163034201771</c:v>
                </c:pt>
                <c:pt idx="121">
                  <c:v>109.80466294885807</c:v>
                </c:pt>
                <c:pt idx="122">
                  <c:v>112.00075620783522</c:v>
                </c:pt>
                <c:pt idx="123">
                  <c:v>114.24077133199194</c:v>
                </c:pt>
                <c:pt idx="124">
                  <c:v>116.52558675863177</c:v>
                </c:pt>
                <c:pt idx="125">
                  <c:v>118.85609849380441</c:v>
                </c:pt>
                <c:pt idx="126">
                  <c:v>121.2332204636805</c:v>
                </c:pt>
                <c:pt idx="127">
                  <c:v>123.65788487295411</c:v>
                </c:pt>
                <c:pt idx="128">
                  <c:v>126.1310425704132</c:v>
                </c:pt>
                <c:pt idx="129">
                  <c:v>128.65366342182148</c:v>
                </c:pt>
                <c:pt idx="130">
                  <c:v>131.22673669025792</c:v>
                </c:pt>
                <c:pt idx="131">
                  <c:v>133.85127142406307</c:v>
                </c:pt>
                <c:pt idx="132">
                  <c:v>136.52829685254434</c:v>
                </c:pt>
                <c:pt idx="133">
                  <c:v>139.25886278959524</c:v>
                </c:pt>
                <c:pt idx="134">
                  <c:v>142.04404004538713</c:v>
                </c:pt>
                <c:pt idx="135">
                  <c:v>144.88492084629488</c:v>
                </c:pt>
                <c:pt idx="136">
                  <c:v>147.78261926322077</c:v>
                </c:pt>
                <c:pt idx="137">
                  <c:v>150.73827164848518</c:v>
                </c:pt>
                <c:pt idx="138">
                  <c:v>153.7530370814549</c:v>
                </c:pt>
                <c:pt idx="139">
                  <c:v>156.828097823084</c:v>
                </c:pt>
                <c:pt idx="140">
                  <c:v>159.96465977954568</c:v>
                </c:pt>
                <c:pt idx="141">
                  <c:v>163.1639529751366</c:v>
                </c:pt>
                <c:pt idx="142">
                  <c:v>166.42723203463933</c:v>
                </c:pt>
                <c:pt idx="143">
                  <c:v>169.75577667533213</c:v>
                </c:pt>
                <c:pt idx="144">
                  <c:v>173.15089220883877</c:v>
                </c:pt>
                <c:pt idx="145">
                  <c:v>176.61391005301556</c:v>
                </c:pt>
                <c:pt idx="146">
                  <c:v>180.14618825407587</c:v>
                </c:pt>
                <c:pt idx="147">
                  <c:v>183.7491120191574</c:v>
                </c:pt>
                <c:pt idx="148">
                  <c:v>187.42409425954054</c:v>
                </c:pt>
                <c:pt idx="149">
                  <c:v>191.17257614473135</c:v>
                </c:pt>
                <c:pt idx="150">
                  <c:v>194.99602766762598</c:v>
                </c:pt>
                <c:pt idx="151">
                  <c:v>198.8959482209785</c:v>
                </c:pt>
                <c:pt idx="152">
                  <c:v>202.8738671853981</c:v>
                </c:pt>
                <c:pt idx="153">
                  <c:v>206.93134452910607</c:v>
                </c:pt>
                <c:pt idx="154">
                  <c:v>211.0699714196882</c:v>
                </c:pt>
                <c:pt idx="155">
                  <c:v>215.29137084808195</c:v>
                </c:pt>
                <c:pt idx="156">
                  <c:v>219.5971982650436</c:v>
                </c:pt>
                <c:pt idx="157">
                  <c:v>223.98914223034447</c:v>
                </c:pt>
                <c:pt idx="158">
                  <c:v>228.46892507495136</c:v>
                </c:pt>
                <c:pt idx="159">
                  <c:v>233.0383035764504</c:v>
                </c:pt>
                <c:pt idx="160">
                  <c:v>237.69906964797943</c:v>
                </c:pt>
                <c:pt idx="161">
                  <c:v>242.45305104093902</c:v>
                </c:pt>
                <c:pt idx="162">
                  <c:v>247.3021120617578</c:v>
                </c:pt>
                <c:pt idx="163">
                  <c:v>252.24815430299296</c:v>
                </c:pt>
                <c:pt idx="164">
                  <c:v>257.29311738905284</c:v>
                </c:pt>
                <c:pt idx="165">
                  <c:v>262.4389797368339</c:v>
                </c:pt>
                <c:pt idx="166">
                  <c:v>267.6877593315706</c:v>
                </c:pt>
                <c:pt idx="167">
                  <c:v>273.041514518202</c:v>
                </c:pt>
                <c:pt idx="168">
                  <c:v>278.5023448085661</c:v>
                </c:pt>
                <c:pt idx="169">
                  <c:v>284.0723917047374</c:v>
                </c:pt>
                <c:pt idx="170">
                  <c:v>289.75383953883215</c:v>
                </c:pt>
                <c:pt idx="171">
                  <c:v>295.5489163296088</c:v>
                </c:pt>
                <c:pt idx="172">
                  <c:v>301.45989465620096</c:v>
                </c:pt>
                <c:pt idx="173">
                  <c:v>307.489092549325</c:v>
                </c:pt>
                <c:pt idx="174">
                  <c:v>313.6388744003115</c:v>
                </c:pt>
                <c:pt idx="175">
                  <c:v>319.91165188831775</c:v>
                </c:pt>
                <c:pt idx="176">
                  <c:v>326.3098849260841</c:v>
                </c:pt>
                <c:pt idx="177">
                  <c:v>332.8360826246058</c:v>
                </c:pt>
                <c:pt idx="178">
                  <c:v>339.49280427709795</c:v>
                </c:pt>
                <c:pt idx="179">
                  <c:v>346.2826603626399</c:v>
                </c:pt>
                <c:pt idx="180">
                  <c:v>353.2083135698927</c:v>
                </c:pt>
                <c:pt idx="181">
                  <c:v>360.2724798412906</c:v>
                </c:pt>
                <c:pt idx="182">
                  <c:v>367.4779294381164</c:v>
                </c:pt>
                <c:pt idx="183">
                  <c:v>374.8274880268787</c:v>
                </c:pt>
                <c:pt idx="184">
                  <c:v>382.3240377874163</c:v>
                </c:pt>
                <c:pt idx="185">
                  <c:v>389.9705185431646</c:v>
                </c:pt>
                <c:pt idx="186">
                  <c:v>397.7699289140279</c:v>
                </c:pt>
                <c:pt idx="187">
                  <c:v>405.72532749230845</c:v>
                </c:pt>
                <c:pt idx="188">
                  <c:v>413.8398340421546</c:v>
                </c:pt>
                <c:pt idx="189">
                  <c:v>422.11663072299774</c:v>
                </c:pt>
                <c:pt idx="190">
                  <c:v>430.5589633374577</c:v>
                </c:pt>
                <c:pt idx="191">
                  <c:v>439.1701426042069</c:v>
                </c:pt>
                <c:pt idx="192">
                  <c:v>447.953545456291</c:v>
                </c:pt>
                <c:pt idx="193">
                  <c:v>456.91261636541685</c:v>
                </c:pt>
                <c:pt idx="194">
                  <c:v>466.0508686927252</c:v>
                </c:pt>
                <c:pt idx="195">
                  <c:v>475.3718860665797</c:v>
                </c:pt>
                <c:pt idx="196">
                  <c:v>484.8793237879113</c:v>
                </c:pt>
                <c:pt idx="197">
                  <c:v>494.5769102636695</c:v>
                </c:pt>
                <c:pt idx="198">
                  <c:v>504.4684484689429</c:v>
                </c:pt>
                <c:pt idx="199">
                  <c:v>514.5578174383218</c:v>
                </c:pt>
                <c:pt idx="200">
                  <c:v>524.8489737870882</c:v>
                </c:pt>
                <c:pt idx="201">
                  <c:v>535.34595326283</c:v>
                </c:pt>
                <c:pt idx="202">
                  <c:v>546.0528723280866</c:v>
                </c:pt>
                <c:pt idx="203">
                  <c:v>556.9739297746482</c:v>
                </c:pt>
                <c:pt idx="204">
                  <c:v>568.1134083701412</c:v>
                </c:pt>
                <c:pt idx="205">
                  <c:v>579.475676537544</c:v>
                </c:pt>
                <c:pt idx="206">
                  <c:v>591.0651900682949</c:v>
                </c:pt>
                <c:pt idx="207">
                  <c:v>602.8864938696609</c:v>
                </c:pt>
                <c:pt idx="208">
                  <c:v>614.944223747054</c:v>
                </c:pt>
                <c:pt idx="209">
                  <c:v>627.2431082219952</c:v>
                </c:pt>
                <c:pt idx="210">
                  <c:v>639.7879703864351</c:v>
                </c:pt>
                <c:pt idx="211">
                  <c:v>652.5837297941638</c:v>
                </c:pt>
                <c:pt idx="212">
                  <c:v>665.635404390047</c:v>
                </c:pt>
                <c:pt idx="213">
                  <c:v>678.948112477848</c:v>
                </c:pt>
                <c:pt idx="214">
                  <c:v>692.527074727405</c:v>
                </c:pt>
                <c:pt idx="215">
                  <c:v>706.3776162219531</c:v>
                </c:pt>
                <c:pt idx="216">
                  <c:v>720.5051685463922</c:v>
                </c:pt>
                <c:pt idx="217">
                  <c:v>734.91527191732</c:v>
                </c:pt>
                <c:pt idx="218">
                  <c:v>749.6135773556664</c:v>
                </c:pt>
                <c:pt idx="219">
                  <c:v>764.6058489027797</c:v>
                </c:pt>
                <c:pt idx="220">
                  <c:v>779.8979658808353</c:v>
                </c:pt>
                <c:pt idx="221">
                  <c:v>795.495925198452</c:v>
                </c:pt>
                <c:pt idx="222">
                  <c:v>811.4058437024211</c:v>
                </c:pt>
                <c:pt idx="223">
                  <c:v>827.6339605764695</c:v>
                </c:pt>
                <c:pt idx="224">
                  <c:v>844.1866397879988</c:v>
                </c:pt>
                <c:pt idx="225">
                  <c:v>861.0703725837589</c:v>
                </c:pt>
                <c:pt idx="226">
                  <c:v>878.291780035434</c:v>
                </c:pt>
                <c:pt idx="227">
                  <c:v>895.8576156361428</c:v>
                </c:pt>
                <c:pt idx="228">
                  <c:v>913.7747679488657</c:v>
                </c:pt>
                <c:pt idx="229">
                  <c:v>932.050263307843</c:v>
                </c:pt>
                <c:pt idx="230">
                  <c:v>950.6912685739999</c:v>
                </c:pt>
                <c:pt idx="231">
                  <c:v>969.7050939454799</c:v>
                </c:pt>
                <c:pt idx="232">
                  <c:v>989.0991958243895</c:v>
                </c:pt>
                <c:pt idx="233">
                  <c:v>1008.8811797408773</c:v>
                </c:pt>
                <c:pt idx="234">
                  <c:v>1029.0588033356948</c:v>
                </c:pt>
                <c:pt idx="235">
                  <c:v>1049.6399794024087</c:v>
                </c:pt>
                <c:pt idx="236">
                  <c:v>1070.632778990457</c:v>
                </c:pt>
                <c:pt idx="237">
                  <c:v>1092.045434570266</c:v>
                </c:pt>
                <c:pt idx="238">
                  <c:v>1113.8863432616713</c:v>
                </c:pt>
                <c:pt idx="239">
                  <c:v>1136.1640701269048</c:v>
                </c:pt>
                <c:pt idx="240">
                  <c:v>1158.8873515294429</c:v>
                </c:pt>
                <c:pt idx="241">
                  <c:v>1182.0650985600319</c:v>
                </c:pt>
                <c:pt idx="242">
                  <c:v>1205.7064005312325</c:v>
                </c:pt>
                <c:pt idx="243">
                  <c:v>1229.8205285418571</c:v>
                </c:pt>
                <c:pt idx="244">
                  <c:v>1254.4169391126943</c:v>
                </c:pt>
                <c:pt idx="245">
                  <c:v>1279.5052778949482</c:v>
                </c:pt>
                <c:pt idx="246">
                  <c:v>1305.0953834528473</c:v>
                </c:pt>
                <c:pt idx="247">
                  <c:v>1331.1972911219043</c:v>
                </c:pt>
                <c:pt idx="248">
                  <c:v>1357.8212369443424</c:v>
                </c:pt>
                <c:pt idx="249">
                  <c:v>1384.9776616832294</c:v>
                </c:pt>
                <c:pt idx="250">
                  <c:v>1412.677214916894</c:v>
                </c:pt>
                <c:pt idx="251">
                  <c:v>1440.9307592152318</c:v>
                </c:pt>
                <c:pt idx="252">
                  <c:v>1469.7493743995365</c:v>
                </c:pt>
                <c:pt idx="253">
                  <c:v>1499.144361887527</c:v>
                </c:pt>
                <c:pt idx="254">
                  <c:v>1529.1272491252778</c:v>
                </c:pt>
                <c:pt idx="255">
                  <c:v>1559.7097941077834</c:v>
                </c:pt>
                <c:pt idx="256">
                  <c:v>1590.9039899899392</c:v>
                </c:pt>
                <c:pt idx="257">
                  <c:v>1622.722069789738</c:v>
                </c:pt>
                <c:pt idx="258">
                  <c:v>1655.176511185533</c:v>
                </c:pt>
                <c:pt idx="259">
                  <c:v>1688.2800414092437</c:v>
                </c:pt>
                <c:pt idx="260">
                  <c:v>1722.0456422374286</c:v>
                </c:pt>
                <c:pt idx="261">
                  <c:v>1756.4865550821773</c:v>
                </c:pt>
                <c:pt idx="262">
                  <c:v>1791.6162861838209</c:v>
                </c:pt>
                <c:pt idx="263">
                  <c:v>1827.4486119074973</c:v>
                </c:pt>
                <c:pt idx="264">
                  <c:v>1863.9975841456471</c:v>
                </c:pt>
                <c:pt idx="265">
                  <c:v>1901.27753582856</c:v>
                </c:pt>
                <c:pt idx="266">
                  <c:v>1939.3030865451312</c:v>
                </c:pt>
                <c:pt idx="267">
                  <c:v>1978.089148276034</c:v>
                </c:pt>
                <c:pt idx="268">
                  <c:v>2017.6509312415546</c:v>
                </c:pt>
                <c:pt idx="269">
                  <c:v>2058.003949866386</c:v>
                </c:pt>
                <c:pt idx="270">
                  <c:v>2099.1640288637136</c:v>
                </c:pt>
                <c:pt idx="271">
                  <c:v>2141.147309440988</c:v>
                </c:pt>
                <c:pt idx="272">
                  <c:v>2183.970255629808</c:v>
                </c:pt>
                <c:pt idx="273">
                  <c:v>2227.649660742404</c:v>
                </c:pt>
                <c:pt idx="274">
                  <c:v>2272.202653957252</c:v>
                </c:pt>
                <c:pt idx="275">
                  <c:v>2317.6467070363974</c:v>
                </c:pt>
                <c:pt idx="276">
                  <c:v>2363.9996411771253</c:v>
                </c:pt>
                <c:pt idx="277">
                  <c:v>2411.279634000668</c:v>
                </c:pt>
                <c:pt idx="278">
                  <c:v>2459.5052266806815</c:v>
                </c:pt>
                <c:pt idx="279">
                  <c:v>2508.695331214295</c:v>
                </c:pt>
                <c:pt idx="280">
                  <c:v>2558.869237838581</c:v>
                </c:pt>
                <c:pt idx="281">
                  <c:v>2610.0466225953523</c:v>
                </c:pt>
                <c:pt idx="282">
                  <c:v>2662.2475550472595</c:v>
                </c:pt>
                <c:pt idx="283">
                  <c:v>2715.492506148205</c:v>
                </c:pt>
                <c:pt idx="284">
                  <c:v>2769.802356271169</c:v>
                </c:pt>
                <c:pt idx="285">
                  <c:v>2825.1984033965928</c:v>
                </c:pt>
                <c:pt idx="286">
                  <c:v>2881.7023714645247</c:v>
                </c:pt>
                <c:pt idx="287">
                  <c:v>2939.3364188938153</c:v>
                </c:pt>
                <c:pt idx="288">
                  <c:v>2998.123147271692</c:v>
                </c:pt>
                <c:pt idx="289">
                  <c:v>3058.0856102171256</c:v>
                </c:pt>
                <c:pt idx="290">
                  <c:v>3119.247322421468</c:v>
                </c:pt>
                <c:pt idx="291">
                  <c:v>3181.6322688698974</c:v>
                </c:pt>
                <c:pt idx="292">
                  <c:v>3245.2649142472956</c:v>
                </c:pt>
                <c:pt idx="293">
                  <c:v>3310.1702125322417</c:v>
                </c:pt>
                <c:pt idx="294">
                  <c:v>3376.3736167828865</c:v>
                </c:pt>
                <c:pt idx="295">
                  <c:v>3443.9010891185444</c:v>
                </c:pt>
                <c:pt idx="296">
                  <c:v>3512.7791109009154</c:v>
                </c:pt>
                <c:pt idx="297">
                  <c:v>3583.034693118934</c:v>
                </c:pt>
                <c:pt idx="298">
                  <c:v>3654.6953869813124</c:v>
                </c:pt>
                <c:pt idx="299">
                  <c:v>3727.789294720939</c:v>
                </c:pt>
                <c:pt idx="300">
                  <c:v>3802.345080615358</c:v>
                </c:pt>
                <c:pt idx="301">
                  <c:v>3878.391982227665</c:v>
                </c:pt>
                <c:pt idx="302">
                  <c:v>3955.959821872218</c:v>
                </c:pt>
                <c:pt idx="303">
                  <c:v>4035.0790183096624</c:v>
                </c:pt>
                <c:pt idx="304">
                  <c:v>4115.780598675856</c:v>
                </c:pt>
                <c:pt idx="305">
                  <c:v>4198.096210649373</c:v>
                </c:pt>
                <c:pt idx="306">
                  <c:v>4282.05813486236</c:v>
                </c:pt>
                <c:pt idx="307">
                  <c:v>4367.699297559608</c:v>
                </c:pt>
                <c:pt idx="308">
                  <c:v>4455.0532835108</c:v>
                </c:pt>
                <c:pt idx="309">
                  <c:v>4544.154349181016</c:v>
                </c:pt>
                <c:pt idx="310">
                  <c:v>4635.037436164636</c:v>
                </c:pt>
                <c:pt idx="311">
                  <c:v>4727.7381848879295</c:v>
                </c:pt>
                <c:pt idx="312">
                  <c:v>4822.2929485856885</c:v>
                </c:pt>
                <c:pt idx="313">
                  <c:v>4918.738807557403</c:v>
                </c:pt>
                <c:pt idx="314">
                  <c:v>5017.113583708551</c:v>
                </c:pt>
                <c:pt idx="315">
                  <c:v>5117.455855382722</c:v>
                </c:pt>
                <c:pt idx="316">
                  <c:v>5219.804972490377</c:v>
                </c:pt>
                <c:pt idx="317">
                  <c:v>5324.201071940184</c:v>
                </c:pt>
                <c:pt idx="318">
                  <c:v>5430.685093378988</c:v>
                </c:pt>
                <c:pt idx="319">
                  <c:v>5539.298795246568</c:v>
                </c:pt>
                <c:pt idx="320">
                  <c:v>5650.0847711515</c:v>
                </c:pt>
                <c:pt idx="321">
                  <c:v>5763.08646657453</c:v>
                </c:pt>
                <c:pt idx="322">
                  <c:v>5878.348195906021</c:v>
                </c:pt>
                <c:pt idx="323">
                  <c:v>5995.9151598241415</c:v>
                </c:pt>
                <c:pt idx="324">
                  <c:v>6115.833463020625</c:v>
                </c:pt>
                <c:pt idx="325">
                  <c:v>6238.150132281037</c:v>
                </c:pt>
                <c:pt idx="326">
                  <c:v>6362.913134926658</c:v>
                </c:pt>
                <c:pt idx="327">
                  <c:v>6490.171397625191</c:v>
                </c:pt>
                <c:pt idx="328">
                  <c:v>6619.974825577695</c:v>
                </c:pt>
                <c:pt idx="329">
                  <c:v>6752.374322089249</c:v>
                </c:pt>
                <c:pt idx="330">
                  <c:v>6887.421808531034</c:v>
                </c:pt>
                <c:pt idx="331">
                  <c:v>7025.170244701655</c:v>
                </c:pt>
                <c:pt idx="332">
                  <c:v>7165.673649595688</c:v>
                </c:pt>
                <c:pt idx="333">
                  <c:v>7308.987122587602</c:v>
                </c:pt>
                <c:pt idx="334">
                  <c:v>7455.166865039354</c:v>
                </c:pt>
                <c:pt idx="335">
                  <c:v>7604.270202340142</c:v>
                </c:pt>
                <c:pt idx="336">
                  <c:v>7756.355606386945</c:v>
                </c:pt>
                <c:pt idx="337">
                  <c:v>7911.482718514683</c:v>
                </c:pt>
                <c:pt idx="338">
                  <c:v>8069.712372884977</c:v>
                </c:pt>
                <c:pt idx="339">
                  <c:v>8231.106620342676</c:v>
                </c:pt>
                <c:pt idx="340">
                  <c:v>8395.72875274953</c:v>
                </c:pt>
                <c:pt idx="341">
                  <c:v>8563.64332780452</c:v>
                </c:pt>
                <c:pt idx="342">
                  <c:v>8734.91619436061</c:v>
                </c:pt>
                <c:pt idx="343">
                  <c:v>8909.614518247823</c:v>
                </c:pt>
                <c:pt idx="344">
                  <c:v>9087.80680861278</c:v>
                </c:pt>
                <c:pt idx="345">
                  <c:v>9269.562944785037</c:v>
                </c:pt>
                <c:pt idx="346">
                  <c:v>9454.954203680738</c:v>
                </c:pt>
                <c:pt idx="347">
                  <c:v>9644.053287754354</c:v>
                </c:pt>
                <c:pt idx="348">
                  <c:v>9836.934353509441</c:v>
                </c:pt>
                <c:pt idx="349">
                  <c:v>10033.67304057963</c:v>
                </c:pt>
                <c:pt idx="350">
                  <c:v>10234.346501391223</c:v>
                </c:pt>
                <c:pt idx="351">
                  <c:v>10439.033431419048</c:v>
                </c:pt>
                <c:pt idx="352">
                  <c:v>10647.81410004743</c:v>
                </c:pt>
                <c:pt idx="353">
                  <c:v>10860.770382048378</c:v>
                </c:pt>
                <c:pt idx="354">
                  <c:v>11077.985789689346</c:v>
                </c:pt>
                <c:pt idx="355">
                  <c:v>11299.545505483133</c:v>
                </c:pt>
                <c:pt idx="356">
                  <c:v>11525.536415592796</c:v>
                </c:pt>
                <c:pt idx="357">
                  <c:v>11756.047143904652</c:v>
                </c:pt>
                <c:pt idx="358">
                  <c:v>11991.168086782745</c:v>
                </c:pt>
                <c:pt idx="359">
                  <c:v>12230.9914485184</c:v>
                </c:pt>
                <c:pt idx="360">
                  <c:v>12475.611277488768</c:v>
                </c:pt>
                <c:pt idx="361">
                  <c:v>12725.123503038543</c:v>
                </c:pt>
                <c:pt idx="362">
                  <c:v>12979.625973099315</c:v>
                </c:pt>
                <c:pt idx="363">
                  <c:v>13239.218492561302</c:v>
                </c:pt>
                <c:pt idx="364">
                  <c:v>13504.002862412528</c:v>
                </c:pt>
                <c:pt idx="365">
                  <c:v>13774.08291966078</c:v>
                </c:pt>
                <c:pt idx="366">
                  <c:v>14049.564578053994</c:v>
                </c:pt>
                <c:pt idx="367">
                  <c:v>14330.555869615075</c:v>
                </c:pt>
                <c:pt idx="368">
                  <c:v>14617.166987007377</c:v>
                </c:pt>
                <c:pt idx="369">
                  <c:v>14909.510326747524</c:v>
                </c:pt>
                <c:pt idx="370">
                  <c:v>15207.700533282476</c:v>
                </c:pt>
                <c:pt idx="371">
                  <c:v>15511.854543948126</c:v>
                </c:pt>
                <c:pt idx="372">
                  <c:v>15822.09163482709</c:v>
                </c:pt>
                <c:pt idx="373">
                  <c:v>16138.533467523632</c:v>
                </c:pt>
                <c:pt idx="374">
                  <c:v>16461.304136874103</c:v>
                </c:pt>
                <c:pt idx="375">
                  <c:v>16790.530219611584</c:v>
                </c:pt>
                <c:pt idx="376">
                  <c:v>17126.340824003815</c:v>
                </c:pt>
                <c:pt idx="377">
                  <c:v>17468.86764048389</c:v>
                </c:pt>
                <c:pt idx="378">
                  <c:v>17818.24499329357</c:v>
                </c:pt>
                <c:pt idx="379">
                  <c:v>18174.609893159442</c:v>
                </c:pt>
                <c:pt idx="380">
                  <c:v>18538.102091022633</c:v>
                </c:pt>
                <c:pt idx="381">
                  <c:v>18908.864132843086</c:v>
                </c:pt>
                <c:pt idx="382">
                  <c:v>19287.04141549995</c:v>
                </c:pt>
                <c:pt idx="383">
                  <c:v>19672.782243809947</c:v>
                </c:pt>
              </c:numCache>
            </c:numRef>
          </c:xVal>
          <c:yVal>
            <c:numRef>
              <c:f>'EQ1'!$AI$116:$AI$500</c:f>
              <c:numCache>
                <c:ptCount val="385"/>
                <c:pt idx="0">
                  <c:v>0.0002472911237063613</c:v>
                </c:pt>
                <c:pt idx="1">
                  <c:v>0.00025729334151947114</c:v>
                </c:pt>
                <c:pt idx="2">
                  <c:v>0.0002677006106566182</c:v>
                </c:pt>
                <c:pt idx="3">
                  <c:v>0.000278529374590164</c:v>
                </c:pt>
                <c:pt idx="4">
                  <c:v>0.0002897967476584995</c:v>
                </c:pt>
                <c:pt idx="5">
                  <c:v>0.00030152054269905193</c:v>
                </c:pt>
                <c:pt idx="6">
                  <c:v>0.00031371929991053094</c:v>
                </c:pt>
                <c:pt idx="7">
                  <c:v>0.0003264123168094102</c:v>
                </c:pt>
                <c:pt idx="8">
                  <c:v>0.00033961967954354577</c:v>
                </c:pt>
                <c:pt idx="9">
                  <c:v>0.0003533622955345095</c:v>
                </c:pt>
                <c:pt idx="10">
                  <c:v>0.0003676619273633719</c:v>
                </c:pt>
                <c:pt idx="11">
                  <c:v>0.00038254122834047166</c:v>
                </c:pt>
                <c:pt idx="12">
                  <c:v>0.0003980237792831076</c:v>
                </c:pt>
                <c:pt idx="13">
                  <c:v>0.00041413412712643094</c:v>
                </c:pt>
                <c:pt idx="14">
                  <c:v>0.0004308978250193718</c:v>
                </c:pt>
                <c:pt idx="15">
                  <c:v>0.0004483414741613956</c:v>
                </c:pt>
                <c:pt idx="16">
                  <c:v>0.0004664927675008812</c:v>
                </c:pt>
                <c:pt idx="17">
                  <c:v>0.000485380535174329</c:v>
                </c:pt>
                <c:pt idx="18">
                  <c:v>0.0005050347920771969</c:v>
                </c:pt>
                <c:pt idx="19">
                  <c:v>0.0005254867873034641</c:v>
                </c:pt>
                <c:pt idx="20">
                  <c:v>0.0005467690557949823</c:v>
                </c:pt>
                <c:pt idx="21">
                  <c:v>0.0005689154723214074</c:v>
                </c:pt>
                <c:pt idx="22">
                  <c:v>0.0005919613076059704</c:v>
                </c:pt>
                <c:pt idx="23">
                  <c:v>0.0006159432870589399</c:v>
                </c:pt>
                <c:pt idx="24">
                  <c:v>0.0006408996520193</c:v>
                </c:pt>
                <c:pt idx="25">
                  <c:v>0.0006668702236254376</c:v>
                </c:pt>
                <c:pt idx="26">
                  <c:v>0.0006938964695919481</c:v>
                </c:pt>
                <c:pt idx="27">
                  <c:v>0.0007220215738357183</c:v>
                </c:pt>
                <c:pt idx="28">
                  <c:v>0.0007512905092212918</c:v>
                </c:pt>
                <c:pt idx="29">
                  <c:v>0.0007817501134823601</c:v>
                </c:pt>
                <c:pt idx="30">
                  <c:v>0.0008134491686249135</c:v>
                </c:pt>
                <c:pt idx="31">
                  <c:v>0.0008464384837338912</c:v>
                </c:pt>
                <c:pt idx="32">
                  <c:v>0.0008807709816096576</c:v>
                </c:pt>
                <c:pt idx="33">
                  <c:v>0.000916501789134827</c:v>
                </c:pt>
                <c:pt idx="34">
                  <c:v>0.0009536883319753997</c:v>
                </c:pt>
                <c:pt idx="35">
                  <c:v>0.000992390433282253</c:v>
                </c:pt>
                <c:pt idx="36">
                  <c:v>0.0010326704170680046</c:v>
                </c:pt>
                <c:pt idx="37">
                  <c:v>0.0010745932162308236</c:v>
                </c:pt>
                <c:pt idx="38">
                  <c:v>0.0011182264855591484</c:v>
                </c:pt>
                <c:pt idx="39">
                  <c:v>0.0011636407199233645</c:v>
                </c:pt>
                <c:pt idx="40">
                  <c:v>0.0012109093778676083</c:v>
                </c:pt>
                <c:pt idx="41">
                  <c:v>0.0012601090111559188</c:v>
                </c:pt>
              </c:numCache>
            </c:numRef>
          </c:yVal>
          <c:smooth val="1"/>
        </c:ser>
        <c:axId val="37601004"/>
        <c:axId val="2864717"/>
      </c:scatterChart>
      <c:valAx>
        <c:axId val="37601004"/>
        <c:scaling>
          <c:logBase val="10"/>
          <c:orientation val="minMax"/>
          <c:min val="10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864717"/>
        <c:crosses val="autoZero"/>
        <c:crossBetween val="midCat"/>
        <c:dispUnits/>
      </c:valAx>
      <c:valAx>
        <c:axId val="2864717"/>
        <c:scaling>
          <c:orientation val="minMax"/>
          <c:max val="25"/>
          <c:min val="-2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76010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"/>
          <c:y val="0.10925"/>
          <c:w val="0.227"/>
          <c:h val="0.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R B-J Equalisers graphed by Websurff@gmail.com</a:t>
            </a:r>
          </a:p>
        </c:rich>
      </c:tx>
      <c:layout>
        <c:manualLayout>
          <c:xMode val="factor"/>
          <c:yMode val="factor"/>
          <c:x val="-0.035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35"/>
          <c:w val="0.98525"/>
          <c:h val="0.96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'EQ All Peaking'!$Z$115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All Peaking'!$R$116:$R$499</c:f>
              <c:numCache/>
            </c:numRef>
          </c:xVal>
          <c:yVal>
            <c:numRef>
              <c:f>'EQ All Peaking'!$Z$116:$Z$499</c:f>
              <c:numCache/>
            </c:numRef>
          </c:yVal>
          <c:smooth val="1"/>
        </c:ser>
        <c:ser>
          <c:idx val="0"/>
          <c:order val="1"/>
          <c:tx>
            <c:strRef>
              <c:f>'EQ All Peaking'!$U$115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All Peaking'!$R$116:$R$499</c:f>
              <c:numCache/>
            </c:numRef>
          </c:xVal>
          <c:yVal>
            <c:numRef>
              <c:f>'EQ All Peaking'!$U$116:$U$499</c:f>
              <c:numCache/>
            </c:numRef>
          </c:yVal>
          <c:smooth val="1"/>
        </c:ser>
        <c:ser>
          <c:idx val="1"/>
          <c:order val="2"/>
          <c:tx>
            <c:strRef>
              <c:f>'EQ All Peaking'!$V$115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All Peaking'!$R$116:$R$499</c:f>
              <c:numCache/>
            </c:numRef>
          </c:xVal>
          <c:yVal>
            <c:numRef>
              <c:f>'EQ All Peaking'!$V$116:$V$499</c:f>
              <c:numCache/>
            </c:numRef>
          </c:yVal>
          <c:smooth val="1"/>
        </c:ser>
        <c:ser>
          <c:idx val="2"/>
          <c:order val="3"/>
          <c:tx>
            <c:strRef>
              <c:f>'EQ All Peaking'!$W$115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All Peaking'!$R$116:$R$499</c:f>
              <c:numCache/>
            </c:numRef>
          </c:xVal>
          <c:yVal>
            <c:numRef>
              <c:f>'EQ All Peaking'!$W$116:$W$499</c:f>
              <c:numCache/>
            </c:numRef>
          </c:yVal>
          <c:smooth val="1"/>
        </c:ser>
        <c:ser>
          <c:idx val="3"/>
          <c:order val="4"/>
          <c:tx>
            <c:strRef>
              <c:f>'EQ All Peaking'!$X$115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All Peaking'!$R$116:$R$499</c:f>
              <c:numCache/>
            </c:numRef>
          </c:xVal>
          <c:yVal>
            <c:numRef>
              <c:f>'EQ All Peaking'!$X$116:$X$499</c:f>
              <c:numCache/>
            </c:numRef>
          </c:yVal>
          <c:smooth val="1"/>
        </c:ser>
        <c:ser>
          <c:idx val="4"/>
          <c:order val="5"/>
          <c:tx>
            <c:strRef>
              <c:f>'EQ All Peaking'!$Y$115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5"/>
            <c:marker>
              <c:symbol val="none"/>
            </c:marker>
          </c:dPt>
          <c:xVal>
            <c:numRef>
              <c:f>'EQ All Peaking'!$R$116:$R$499</c:f>
              <c:numCache/>
            </c:numRef>
          </c:xVal>
          <c:yVal>
            <c:numRef>
              <c:f>'EQ All Peaking'!$Y$116:$Y$499</c:f>
              <c:numCache/>
            </c:numRef>
          </c:yVal>
          <c:smooth val="1"/>
        </c:ser>
        <c:axId val="25782454"/>
        <c:axId val="30715495"/>
      </c:scatterChart>
      <c:valAx>
        <c:axId val="25782454"/>
        <c:scaling>
          <c:logBase val="10"/>
          <c:orientation val="minMax"/>
          <c:min val="10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0715495"/>
        <c:crosses val="autoZero"/>
        <c:crossBetween val="midCat"/>
        <c:dispUnits/>
      </c:valAx>
      <c:valAx>
        <c:axId val="30715495"/>
        <c:scaling>
          <c:orientation val="minMax"/>
          <c:max val="25"/>
          <c:min val="-2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57824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81"/>
          <c:w val="0.18075"/>
          <c:h val="0.5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image" Target="../media/image35.emf" /><Relationship Id="rId4" Type="http://schemas.openxmlformats.org/officeDocument/2006/relationships/image" Target="../media/image11.emf" /><Relationship Id="rId5" Type="http://schemas.openxmlformats.org/officeDocument/2006/relationships/image" Target="../media/image5.emf" /><Relationship Id="rId6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9.emf" /><Relationship Id="rId4" Type="http://schemas.openxmlformats.org/officeDocument/2006/relationships/image" Target="../media/image10.emf" /><Relationship Id="rId5" Type="http://schemas.openxmlformats.org/officeDocument/2006/relationships/image" Target="../media/image30.emf" /><Relationship Id="rId6" Type="http://schemas.openxmlformats.org/officeDocument/2006/relationships/image" Target="../media/image25.emf" /><Relationship Id="rId7" Type="http://schemas.openxmlformats.org/officeDocument/2006/relationships/image" Target="../media/image21.emf" /><Relationship Id="rId8" Type="http://schemas.openxmlformats.org/officeDocument/2006/relationships/image" Target="../media/image23.emf" /><Relationship Id="rId9" Type="http://schemas.openxmlformats.org/officeDocument/2006/relationships/image" Target="../media/image18.emf" /><Relationship Id="rId10" Type="http://schemas.openxmlformats.org/officeDocument/2006/relationships/image" Target="../media/image20.emf" /><Relationship Id="rId11" Type="http://schemas.openxmlformats.org/officeDocument/2006/relationships/image" Target="../media/image9.emf" /><Relationship Id="rId12" Type="http://schemas.openxmlformats.org/officeDocument/2006/relationships/image" Target="../media/image24.emf" /><Relationship Id="rId13" Type="http://schemas.openxmlformats.org/officeDocument/2006/relationships/image" Target="../media/image12.emf" /><Relationship Id="rId14" Type="http://schemas.openxmlformats.org/officeDocument/2006/relationships/image" Target="../media/image17.emf" /><Relationship Id="rId15" Type="http://schemas.openxmlformats.org/officeDocument/2006/relationships/image" Target="../media/image16.emf" /><Relationship Id="rId16" Type="http://schemas.openxmlformats.org/officeDocument/2006/relationships/image" Target="../media/image2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1.emf" /><Relationship Id="rId3" Type="http://schemas.openxmlformats.org/officeDocument/2006/relationships/image" Target="../media/image26.emf" /><Relationship Id="rId4" Type="http://schemas.openxmlformats.org/officeDocument/2006/relationships/image" Target="../media/image14.emf" /><Relationship Id="rId5" Type="http://schemas.openxmlformats.org/officeDocument/2006/relationships/image" Target="../media/image25.emf" /><Relationship Id="rId6" Type="http://schemas.openxmlformats.org/officeDocument/2006/relationships/image" Target="../media/image13.emf" /><Relationship Id="rId7" Type="http://schemas.openxmlformats.org/officeDocument/2006/relationships/image" Target="../media/image15.emf" /><Relationship Id="rId8" Type="http://schemas.openxmlformats.org/officeDocument/2006/relationships/image" Target="../media/image28.emf" /><Relationship Id="rId9" Type="http://schemas.openxmlformats.org/officeDocument/2006/relationships/image" Target="../media/image34.emf" /><Relationship Id="rId10" Type="http://schemas.openxmlformats.org/officeDocument/2006/relationships/image" Target="../media/image22.emf" /><Relationship Id="rId11" Type="http://schemas.openxmlformats.org/officeDocument/2006/relationships/image" Target="../media/image29.emf" /><Relationship Id="rId12" Type="http://schemas.openxmlformats.org/officeDocument/2006/relationships/image" Target="../media/image33.emf" /><Relationship Id="rId13" Type="http://schemas.openxmlformats.org/officeDocument/2006/relationships/image" Target="../media/image31.emf" /><Relationship Id="rId14" Type="http://schemas.openxmlformats.org/officeDocument/2006/relationships/image" Target="../media/image18.emf" /><Relationship Id="rId15" Type="http://schemas.openxmlformats.org/officeDocument/2006/relationships/image" Target="../media/image32.emf" /><Relationship Id="rId16" Type="http://schemas.openxmlformats.org/officeDocument/2006/relationships/image" Target="../media/image27.emf" /><Relationship Id="rId1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9</xdr:col>
      <xdr:colOff>571500</xdr:colOff>
      <xdr:row>28</xdr:row>
      <xdr:rowOff>47625</xdr:rowOff>
    </xdr:to>
    <xdr:graphicFrame>
      <xdr:nvGraphicFramePr>
        <xdr:cNvPr id="1" name="Chart 4"/>
        <xdr:cNvGraphicFramePr/>
      </xdr:nvGraphicFramePr>
      <xdr:xfrm>
        <a:off x="2076450" y="2247900"/>
        <a:ext cx="49911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10</xdr:row>
      <xdr:rowOff>9525</xdr:rowOff>
    </xdr:from>
    <xdr:to>
      <xdr:col>1</xdr:col>
      <xdr:colOff>304800</xdr:colOff>
      <xdr:row>27</xdr:row>
      <xdr:rowOff>152400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609725"/>
          <a:ext cx="2762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10</xdr:row>
      <xdr:rowOff>9525</xdr:rowOff>
    </xdr:from>
    <xdr:to>
      <xdr:col>1</xdr:col>
      <xdr:colOff>571500</xdr:colOff>
      <xdr:row>27</xdr:row>
      <xdr:rowOff>152400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1609725"/>
          <a:ext cx="2762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10</xdr:row>
      <xdr:rowOff>9525</xdr:rowOff>
    </xdr:from>
    <xdr:to>
      <xdr:col>1</xdr:col>
      <xdr:colOff>838200</xdr:colOff>
      <xdr:row>27</xdr:row>
      <xdr:rowOff>152400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1609725"/>
          <a:ext cx="2762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10</xdr:row>
      <xdr:rowOff>9525</xdr:rowOff>
    </xdr:from>
    <xdr:to>
      <xdr:col>1</xdr:col>
      <xdr:colOff>1095375</xdr:colOff>
      <xdr:row>27</xdr:row>
      <xdr:rowOff>152400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0" y="1609725"/>
          <a:ext cx="2762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10</xdr:row>
      <xdr:rowOff>9525</xdr:rowOff>
    </xdr:from>
    <xdr:to>
      <xdr:col>1</xdr:col>
      <xdr:colOff>1352550</xdr:colOff>
      <xdr:row>27</xdr:row>
      <xdr:rowOff>152400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85925" y="1609725"/>
          <a:ext cx="2762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11</xdr:col>
      <xdr:colOff>9525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9525" y="9525"/>
        <a:ext cx="69056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126</xdr:row>
      <xdr:rowOff>0</xdr:rowOff>
    </xdr:from>
    <xdr:to>
      <xdr:col>15</xdr:col>
      <xdr:colOff>123825</xdr:colOff>
      <xdr:row>140</xdr:row>
      <xdr:rowOff>47625</xdr:rowOff>
    </xdr:to>
    <xdr:graphicFrame>
      <xdr:nvGraphicFramePr>
        <xdr:cNvPr id="2" name="Chart 2"/>
        <xdr:cNvGraphicFramePr/>
      </xdr:nvGraphicFramePr>
      <xdr:xfrm>
        <a:off x="4286250" y="20135850"/>
        <a:ext cx="54578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28575</xdr:colOff>
      <xdr:row>15</xdr:row>
      <xdr:rowOff>152400</xdr:rowOff>
    </xdr:from>
    <xdr:to>
      <xdr:col>1</xdr:col>
      <xdr:colOff>152400</xdr:colOff>
      <xdr:row>31</xdr:row>
      <xdr:rowOff>152400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258127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15</xdr:row>
      <xdr:rowOff>152400</xdr:rowOff>
    </xdr:from>
    <xdr:to>
      <xdr:col>1</xdr:col>
      <xdr:colOff>276225</xdr:colOff>
      <xdr:row>31</xdr:row>
      <xdr:rowOff>152400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58127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15</xdr:row>
      <xdr:rowOff>152400</xdr:rowOff>
    </xdr:from>
    <xdr:to>
      <xdr:col>1</xdr:col>
      <xdr:colOff>400050</xdr:colOff>
      <xdr:row>31</xdr:row>
      <xdr:rowOff>152400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" y="258127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0</xdr:rowOff>
    </xdr:from>
    <xdr:to>
      <xdr:col>11</xdr:col>
      <xdr:colOff>247650</xdr:colOff>
      <xdr:row>14</xdr:row>
      <xdr:rowOff>66675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29450" y="0"/>
          <a:ext cx="1238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</xdr:row>
      <xdr:rowOff>9525</xdr:rowOff>
    </xdr:from>
    <xdr:to>
      <xdr:col>2</xdr:col>
      <xdr:colOff>171450</xdr:colOff>
      <xdr:row>32</xdr:row>
      <xdr:rowOff>9525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442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16</xdr:row>
      <xdr:rowOff>9525</xdr:rowOff>
    </xdr:from>
    <xdr:to>
      <xdr:col>2</xdr:col>
      <xdr:colOff>304800</xdr:colOff>
      <xdr:row>32</xdr:row>
      <xdr:rowOff>9525</xdr:rowOff>
    </xdr:to>
    <xdr:pic>
      <xdr:nvPicPr>
        <xdr:cNvPr id="8" name="ScrollBar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16</xdr:row>
      <xdr:rowOff>9525</xdr:rowOff>
    </xdr:from>
    <xdr:to>
      <xdr:col>2</xdr:col>
      <xdr:colOff>428625</xdr:colOff>
      <xdr:row>32</xdr:row>
      <xdr:rowOff>9525</xdr:rowOff>
    </xdr:to>
    <xdr:pic>
      <xdr:nvPicPr>
        <xdr:cNvPr id="9" name="ScrollBar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16</xdr:row>
      <xdr:rowOff>9525</xdr:rowOff>
    </xdr:from>
    <xdr:to>
      <xdr:col>3</xdr:col>
      <xdr:colOff>200025</xdr:colOff>
      <xdr:row>32</xdr:row>
      <xdr:rowOff>9525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52600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16</xdr:row>
      <xdr:rowOff>9525</xdr:rowOff>
    </xdr:from>
    <xdr:to>
      <xdr:col>3</xdr:col>
      <xdr:colOff>323850</xdr:colOff>
      <xdr:row>32</xdr:row>
      <xdr:rowOff>9525</xdr:rowOff>
    </xdr:to>
    <xdr:pic>
      <xdr:nvPicPr>
        <xdr:cNvPr id="11" name="ScrollBar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7642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16</xdr:row>
      <xdr:rowOff>9525</xdr:rowOff>
    </xdr:from>
    <xdr:to>
      <xdr:col>3</xdr:col>
      <xdr:colOff>457200</xdr:colOff>
      <xdr:row>32</xdr:row>
      <xdr:rowOff>9525</xdr:rowOff>
    </xdr:to>
    <xdr:pic>
      <xdr:nvPicPr>
        <xdr:cNvPr id="12" name="ScrollBar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977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16</xdr:row>
      <xdr:rowOff>9525</xdr:rowOff>
    </xdr:from>
    <xdr:to>
      <xdr:col>4</xdr:col>
      <xdr:colOff>228600</xdr:colOff>
      <xdr:row>32</xdr:row>
      <xdr:rowOff>9525</xdr:rowOff>
    </xdr:to>
    <xdr:pic>
      <xdr:nvPicPr>
        <xdr:cNvPr id="13" name="ScrollBar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9077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16</xdr:row>
      <xdr:rowOff>9525</xdr:rowOff>
    </xdr:from>
    <xdr:to>
      <xdr:col>4</xdr:col>
      <xdr:colOff>352425</xdr:colOff>
      <xdr:row>32</xdr:row>
      <xdr:rowOff>9525</xdr:rowOff>
    </xdr:to>
    <xdr:pic>
      <xdr:nvPicPr>
        <xdr:cNvPr id="14" name="ScrollBar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16</xdr:row>
      <xdr:rowOff>9525</xdr:rowOff>
    </xdr:from>
    <xdr:to>
      <xdr:col>4</xdr:col>
      <xdr:colOff>476250</xdr:colOff>
      <xdr:row>32</xdr:row>
      <xdr:rowOff>9525</xdr:rowOff>
    </xdr:to>
    <xdr:pic>
      <xdr:nvPicPr>
        <xdr:cNvPr id="15" name="ScrollBar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842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16</xdr:row>
      <xdr:rowOff>9525</xdr:rowOff>
    </xdr:from>
    <xdr:to>
      <xdr:col>5</xdr:col>
      <xdr:colOff>247650</xdr:colOff>
      <xdr:row>32</xdr:row>
      <xdr:rowOff>9525</xdr:rowOff>
    </xdr:to>
    <xdr:pic>
      <xdr:nvPicPr>
        <xdr:cNvPr id="16" name="ScrollBar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1942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16</xdr:row>
      <xdr:rowOff>9525</xdr:rowOff>
    </xdr:from>
    <xdr:to>
      <xdr:col>5</xdr:col>
      <xdr:colOff>361950</xdr:colOff>
      <xdr:row>32</xdr:row>
      <xdr:rowOff>9525</xdr:rowOff>
    </xdr:to>
    <xdr:pic>
      <xdr:nvPicPr>
        <xdr:cNvPr id="17" name="ScrollBar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3372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16</xdr:row>
      <xdr:rowOff>9525</xdr:rowOff>
    </xdr:from>
    <xdr:to>
      <xdr:col>5</xdr:col>
      <xdr:colOff>485775</xdr:colOff>
      <xdr:row>32</xdr:row>
      <xdr:rowOff>9525</xdr:rowOff>
    </xdr:to>
    <xdr:pic>
      <xdr:nvPicPr>
        <xdr:cNvPr id="18" name="ScrollBar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57550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16</xdr:row>
      <xdr:rowOff>0</xdr:rowOff>
    </xdr:from>
    <xdr:to>
      <xdr:col>1</xdr:col>
      <xdr:colOff>533400</xdr:colOff>
      <xdr:row>32</xdr:row>
      <xdr:rowOff>0</xdr:rowOff>
    </xdr:to>
    <xdr:pic>
      <xdr:nvPicPr>
        <xdr:cNvPr id="19" name="ScrollBar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6775" y="2590800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16</xdr:row>
      <xdr:rowOff>0</xdr:rowOff>
    </xdr:from>
    <xdr:to>
      <xdr:col>2</xdr:col>
      <xdr:colOff>552450</xdr:colOff>
      <xdr:row>32</xdr:row>
      <xdr:rowOff>0</xdr:rowOff>
    </xdr:to>
    <xdr:pic>
      <xdr:nvPicPr>
        <xdr:cNvPr id="20" name="ScrollBar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95425" y="2590800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16</xdr:row>
      <xdr:rowOff>9525</xdr:rowOff>
    </xdr:from>
    <xdr:to>
      <xdr:col>3</xdr:col>
      <xdr:colOff>581025</xdr:colOff>
      <xdr:row>32</xdr:row>
      <xdr:rowOff>9525</xdr:rowOff>
    </xdr:to>
    <xdr:pic>
      <xdr:nvPicPr>
        <xdr:cNvPr id="21" name="ScrollBar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33600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16</xdr:row>
      <xdr:rowOff>9525</xdr:rowOff>
    </xdr:from>
    <xdr:to>
      <xdr:col>4</xdr:col>
      <xdr:colOff>609600</xdr:colOff>
      <xdr:row>32</xdr:row>
      <xdr:rowOff>9525</xdr:rowOff>
    </xdr:to>
    <xdr:pic>
      <xdr:nvPicPr>
        <xdr:cNvPr id="22" name="ScrollBar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7177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16</xdr:row>
      <xdr:rowOff>9525</xdr:rowOff>
    </xdr:from>
    <xdr:to>
      <xdr:col>5</xdr:col>
      <xdr:colOff>609600</xdr:colOff>
      <xdr:row>32</xdr:row>
      <xdr:rowOff>9525</xdr:rowOff>
    </xdr:to>
    <xdr:pic>
      <xdr:nvPicPr>
        <xdr:cNvPr id="23" name="ScrollBar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8137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11</xdr:col>
      <xdr:colOff>9525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9525" y="9525"/>
        <a:ext cx="69056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15</xdr:row>
      <xdr:rowOff>152400</xdr:rowOff>
    </xdr:from>
    <xdr:to>
      <xdr:col>1</xdr:col>
      <xdr:colOff>152400</xdr:colOff>
      <xdr:row>31</xdr:row>
      <xdr:rowOff>152400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58127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15</xdr:row>
      <xdr:rowOff>152400</xdr:rowOff>
    </xdr:from>
    <xdr:to>
      <xdr:col>1</xdr:col>
      <xdr:colOff>276225</xdr:colOff>
      <xdr:row>31</xdr:row>
      <xdr:rowOff>152400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58127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15</xdr:row>
      <xdr:rowOff>152400</xdr:rowOff>
    </xdr:from>
    <xdr:to>
      <xdr:col>1</xdr:col>
      <xdr:colOff>400050</xdr:colOff>
      <xdr:row>31</xdr:row>
      <xdr:rowOff>152400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258127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0</xdr:rowOff>
    </xdr:from>
    <xdr:to>
      <xdr:col>11</xdr:col>
      <xdr:colOff>247650</xdr:colOff>
      <xdr:row>14</xdr:row>
      <xdr:rowOff>66675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29450" y="0"/>
          <a:ext cx="1238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</xdr:row>
      <xdr:rowOff>9525</xdr:rowOff>
    </xdr:from>
    <xdr:to>
      <xdr:col>2</xdr:col>
      <xdr:colOff>171450</xdr:colOff>
      <xdr:row>32</xdr:row>
      <xdr:rowOff>9525</xdr:rowOff>
    </xdr:to>
    <xdr:pic>
      <xdr:nvPicPr>
        <xdr:cNvPr id="6" name="ScrollBar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16</xdr:row>
      <xdr:rowOff>9525</xdr:rowOff>
    </xdr:from>
    <xdr:to>
      <xdr:col>2</xdr:col>
      <xdr:colOff>304800</xdr:colOff>
      <xdr:row>32</xdr:row>
      <xdr:rowOff>9525</xdr:rowOff>
    </xdr:to>
    <xdr:pic>
      <xdr:nvPicPr>
        <xdr:cNvPr id="7" name="ScrollBar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16</xdr:row>
      <xdr:rowOff>9525</xdr:rowOff>
    </xdr:from>
    <xdr:to>
      <xdr:col>2</xdr:col>
      <xdr:colOff>428625</xdr:colOff>
      <xdr:row>32</xdr:row>
      <xdr:rowOff>9525</xdr:rowOff>
    </xdr:to>
    <xdr:pic>
      <xdr:nvPicPr>
        <xdr:cNvPr id="8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1600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16</xdr:row>
      <xdr:rowOff>9525</xdr:rowOff>
    </xdr:from>
    <xdr:to>
      <xdr:col>3</xdr:col>
      <xdr:colOff>200025</xdr:colOff>
      <xdr:row>32</xdr:row>
      <xdr:rowOff>9525</xdr:rowOff>
    </xdr:to>
    <xdr:pic>
      <xdr:nvPicPr>
        <xdr:cNvPr id="9" name="ScrollBar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52600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16</xdr:row>
      <xdr:rowOff>9525</xdr:rowOff>
    </xdr:from>
    <xdr:to>
      <xdr:col>3</xdr:col>
      <xdr:colOff>323850</xdr:colOff>
      <xdr:row>32</xdr:row>
      <xdr:rowOff>9525</xdr:rowOff>
    </xdr:to>
    <xdr:pic>
      <xdr:nvPicPr>
        <xdr:cNvPr id="10" name="ScrollBar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7642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16</xdr:row>
      <xdr:rowOff>9525</xdr:rowOff>
    </xdr:from>
    <xdr:to>
      <xdr:col>3</xdr:col>
      <xdr:colOff>457200</xdr:colOff>
      <xdr:row>32</xdr:row>
      <xdr:rowOff>9525</xdr:rowOff>
    </xdr:to>
    <xdr:pic>
      <xdr:nvPicPr>
        <xdr:cNvPr id="11" name="ScrollBar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977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16</xdr:row>
      <xdr:rowOff>9525</xdr:rowOff>
    </xdr:from>
    <xdr:to>
      <xdr:col>4</xdr:col>
      <xdr:colOff>228600</xdr:colOff>
      <xdr:row>32</xdr:row>
      <xdr:rowOff>9525</xdr:rowOff>
    </xdr:to>
    <xdr:pic>
      <xdr:nvPicPr>
        <xdr:cNvPr id="12" name="ScrollBar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9077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16</xdr:row>
      <xdr:rowOff>9525</xdr:rowOff>
    </xdr:from>
    <xdr:to>
      <xdr:col>4</xdr:col>
      <xdr:colOff>352425</xdr:colOff>
      <xdr:row>32</xdr:row>
      <xdr:rowOff>9525</xdr:rowOff>
    </xdr:to>
    <xdr:pic>
      <xdr:nvPicPr>
        <xdr:cNvPr id="13" name="ScrollBar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14600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16</xdr:row>
      <xdr:rowOff>9525</xdr:rowOff>
    </xdr:from>
    <xdr:to>
      <xdr:col>4</xdr:col>
      <xdr:colOff>476250</xdr:colOff>
      <xdr:row>32</xdr:row>
      <xdr:rowOff>9525</xdr:rowOff>
    </xdr:to>
    <xdr:pic>
      <xdr:nvPicPr>
        <xdr:cNvPr id="14" name="ScrollBar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842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16</xdr:row>
      <xdr:rowOff>9525</xdr:rowOff>
    </xdr:from>
    <xdr:to>
      <xdr:col>5</xdr:col>
      <xdr:colOff>247650</xdr:colOff>
      <xdr:row>32</xdr:row>
      <xdr:rowOff>9525</xdr:rowOff>
    </xdr:to>
    <xdr:pic>
      <xdr:nvPicPr>
        <xdr:cNvPr id="15" name="ScrollBar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1942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16</xdr:row>
      <xdr:rowOff>9525</xdr:rowOff>
    </xdr:from>
    <xdr:to>
      <xdr:col>5</xdr:col>
      <xdr:colOff>361950</xdr:colOff>
      <xdr:row>32</xdr:row>
      <xdr:rowOff>9525</xdr:rowOff>
    </xdr:to>
    <xdr:pic>
      <xdr:nvPicPr>
        <xdr:cNvPr id="16" name="ScrollBar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3372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16</xdr:row>
      <xdr:rowOff>9525</xdr:rowOff>
    </xdr:from>
    <xdr:to>
      <xdr:col>5</xdr:col>
      <xdr:colOff>485775</xdr:colOff>
      <xdr:row>32</xdr:row>
      <xdr:rowOff>9525</xdr:rowOff>
    </xdr:to>
    <xdr:pic>
      <xdr:nvPicPr>
        <xdr:cNvPr id="17" name="ScrollBar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57550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16</xdr:row>
      <xdr:rowOff>0</xdr:rowOff>
    </xdr:from>
    <xdr:to>
      <xdr:col>1</xdr:col>
      <xdr:colOff>533400</xdr:colOff>
      <xdr:row>32</xdr:row>
      <xdr:rowOff>0</xdr:rowOff>
    </xdr:to>
    <xdr:pic>
      <xdr:nvPicPr>
        <xdr:cNvPr id="18" name="ScrollBar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6775" y="2590800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16</xdr:row>
      <xdr:rowOff>0</xdr:rowOff>
    </xdr:from>
    <xdr:to>
      <xdr:col>2</xdr:col>
      <xdr:colOff>552450</xdr:colOff>
      <xdr:row>32</xdr:row>
      <xdr:rowOff>0</xdr:rowOff>
    </xdr:to>
    <xdr:pic>
      <xdr:nvPicPr>
        <xdr:cNvPr id="19" name="ScrollBar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95425" y="2590800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16</xdr:row>
      <xdr:rowOff>9525</xdr:rowOff>
    </xdr:from>
    <xdr:to>
      <xdr:col>3</xdr:col>
      <xdr:colOff>581025</xdr:colOff>
      <xdr:row>32</xdr:row>
      <xdr:rowOff>9525</xdr:rowOff>
    </xdr:to>
    <xdr:pic>
      <xdr:nvPicPr>
        <xdr:cNvPr id="20" name="ScrollBar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33600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16</xdr:row>
      <xdr:rowOff>9525</xdr:rowOff>
    </xdr:from>
    <xdr:to>
      <xdr:col>4</xdr:col>
      <xdr:colOff>609600</xdr:colOff>
      <xdr:row>32</xdr:row>
      <xdr:rowOff>9525</xdr:rowOff>
    </xdr:to>
    <xdr:pic>
      <xdr:nvPicPr>
        <xdr:cNvPr id="21" name="ScrollBar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7177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16</xdr:row>
      <xdr:rowOff>9525</xdr:rowOff>
    </xdr:from>
    <xdr:to>
      <xdr:col>5</xdr:col>
      <xdr:colOff>609600</xdr:colOff>
      <xdr:row>32</xdr:row>
      <xdr:rowOff>9525</xdr:rowOff>
    </xdr:to>
    <xdr:pic>
      <xdr:nvPicPr>
        <xdr:cNvPr id="22" name="ScrollBar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81375" y="2600325"/>
          <a:ext cx="1238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L49"/>
  <sheetViews>
    <sheetView workbookViewId="0" topLeftCell="A1">
      <selection activeCell="A1" sqref="A1"/>
    </sheetView>
  </sheetViews>
  <sheetFormatPr defaultColWidth="9.140625" defaultRowHeight="12.75"/>
  <cols>
    <col min="2" max="2" width="22.00390625" style="0" customWidth="1"/>
    <col min="3" max="3" width="10.57421875" style="0" customWidth="1"/>
    <col min="7" max="7" width="10.00390625" style="0" customWidth="1"/>
    <col min="14" max="14" width="10.7109375" style="0" customWidth="1"/>
    <col min="21" max="21" width="11.7109375" style="0" customWidth="1"/>
    <col min="22" max="22" width="11.421875" style="0" customWidth="1"/>
    <col min="23" max="23" width="11.8515625" style="0" customWidth="1"/>
    <col min="24" max="24" width="13.7109375" style="0" customWidth="1"/>
    <col min="25" max="25" width="11.57421875" style="0" customWidth="1"/>
    <col min="26" max="26" width="10.8515625" style="0" customWidth="1"/>
    <col min="31" max="31" width="12.8515625" style="0" customWidth="1"/>
    <col min="32" max="32" width="13.00390625" style="0" customWidth="1"/>
    <col min="33" max="33" width="12.421875" style="0" customWidth="1"/>
    <col min="34" max="34" width="12.7109375" style="0" customWidth="1"/>
    <col min="35" max="35" width="12.8515625" style="0" customWidth="1"/>
    <col min="36" max="36" width="11.421875" style="0" customWidth="1"/>
  </cols>
  <sheetData>
    <row r="1" ht="12">
      <c r="C1">
        <v>807389</v>
      </c>
    </row>
    <row r="2" spans="1:10" ht="13.5">
      <c r="A2" s="7"/>
      <c r="C2">
        <v>651716</v>
      </c>
      <c r="J2" s="12"/>
    </row>
    <row r="3" spans="1:3" ht="13.5">
      <c r="A3" s="8"/>
      <c r="C3">
        <v>928760</v>
      </c>
    </row>
    <row r="4" spans="1:14" ht="13.5">
      <c r="A4" s="8"/>
      <c r="C4">
        <v>659631</v>
      </c>
      <c r="J4" s="12"/>
      <c r="N4" s="4"/>
    </row>
    <row r="5" spans="1:31" ht="13.5">
      <c r="A5" s="8"/>
      <c r="C5">
        <v>939315</v>
      </c>
      <c r="J5" s="12"/>
      <c r="U5" s="6"/>
      <c r="AE5" s="6" t="s">
        <v>27</v>
      </c>
    </row>
    <row r="6" ht="12">
      <c r="J6" s="12"/>
    </row>
    <row r="7" spans="18:38" ht="12">
      <c r="R7" s="13" t="s">
        <v>23</v>
      </c>
      <c r="S7" s="13" t="s">
        <v>24</v>
      </c>
      <c r="T7" s="13" t="s">
        <v>25</v>
      </c>
      <c r="U7" s="13" t="s">
        <v>126</v>
      </c>
      <c r="V7" s="13"/>
      <c r="W7" s="13"/>
      <c r="X7" s="13"/>
      <c r="Y7" s="13"/>
      <c r="Z7" s="13"/>
      <c r="AE7" t="s">
        <v>8</v>
      </c>
      <c r="AF7" t="s">
        <v>9</v>
      </c>
      <c r="AG7" t="s">
        <v>10</v>
      </c>
      <c r="AH7" t="s">
        <v>11</v>
      </c>
      <c r="AI7" t="s">
        <v>12</v>
      </c>
      <c r="AJ7" t="s">
        <v>1</v>
      </c>
      <c r="AL7" t="s">
        <v>2</v>
      </c>
    </row>
    <row r="8" spans="3:38" ht="12">
      <c r="C8" t="s">
        <v>126</v>
      </c>
      <c r="D8" s="5" t="s">
        <v>18</v>
      </c>
      <c r="E8" s="5">
        <v>1</v>
      </c>
      <c r="F8" s="9"/>
      <c r="G8" s="5">
        <f>C1/1000000</f>
        <v>0.807389</v>
      </c>
      <c r="H8" s="3"/>
      <c r="I8" s="3"/>
      <c r="L8" s="2"/>
      <c r="M8" s="2"/>
      <c r="N8" s="11"/>
      <c r="R8" s="13">
        <v>10</v>
      </c>
      <c r="S8" s="13">
        <f>2*PI()*R8/44100</f>
        <v>0.0014247585730565956</v>
      </c>
      <c r="T8" s="13">
        <f>4*SIN(S8/2)^2</f>
        <v>2.029936648111274E-06</v>
      </c>
      <c r="U8" s="14">
        <f>10*LOG10(($G$8+$G$9+$G$10)^2+($G$8*$G$10*T8-($G$9*($G$8+$G$10)+4*$G$8*$G$10))*T8)-10*LOG10((1+$G$11+$G$12)^2+(1*$G$12*T8-($G$11*(1+$G$12)+4*1*$G$12))*T8)</f>
        <v>0.0005507216714981666</v>
      </c>
      <c r="V8" s="14"/>
      <c r="W8" s="14"/>
      <c r="X8" s="14"/>
      <c r="Y8" s="14"/>
      <c r="Z8" s="15"/>
      <c r="AE8" s="14" t="e">
        <f>10*LOG10((#REF!+#REF!+#REF!)^2+(#REF!*#REF!*$T8-(#REF!*(#REF!+#REF!)+4*#REF!*#REF!))*$T8)-10*LOG10((1+#REF!+#REF!)^2+(1*#REF!*$T8-(#REF!*(1+#REF!)+4*1*#REF!))*$T8)</f>
        <v>#REF!</v>
      </c>
      <c r="AF8" s="14" t="e">
        <f>10*LOG10((#REF!+#REF!+#REF!)^2+(#REF!*#REF!*$T8-(#REF!*(#REF!+#REF!)+4*#REF!*#REF!))*$T8)-10*LOG10((1+#REF!+#REF!)^2+(1*#REF!*$T8-(#REF!*(1+#REF!)+4*1*#REF!))*$T8)</f>
        <v>#REF!</v>
      </c>
      <c r="AG8" s="14" t="e">
        <f>10*LOG10((#REF!+#REF!+#REF!)^2+(#REF!*#REF!*$T8-(#REF!*(#REF!+#REF!)+4*#REF!*#REF!))*$T8)-10*LOG10((1+#REF!+#REF!)^2+(1*#REF!*$T8-(#REF!*(1+#REF!)+4*1*#REF!))*$T8)</f>
        <v>#REF!</v>
      </c>
      <c r="AH8" s="14" t="e">
        <f>10*LOG10((#REF!+#REF!+#REF!)^2+(#REF!*#REF!*$T8-(#REF!*(#REF!+#REF!)+4*#REF!*#REF!))*$T8)-10*LOG10((1+#REF!+#REF!)^2+(1*#REF!*$T8-(#REF!*(1+#REF!)+4*1*#REF!))*$T8)</f>
        <v>#REF!</v>
      </c>
      <c r="AI8" s="14" t="e">
        <f>10*LOG10((#REF!+#REF!+#REF!)^2+(#REF!*#REF!*$T8-(#REF!*(#REF!+#REF!)+4*#REF!*#REF!))*$T8)-10*LOG10((1+#REF!+#REF!)^2+(1*#REF!*$T8-(#REF!*(1+#REF!)+4*1*#REF!))*$T8)</f>
        <v>#REF!</v>
      </c>
      <c r="AJ8" s="15" t="e">
        <f>AE8+AF8+AG8+AH8+AI8</f>
        <v>#REF!</v>
      </c>
      <c r="AL8" s="1" t="e">
        <f>AJ8+Z8</f>
        <v>#REF!</v>
      </c>
    </row>
    <row r="9" spans="2:38" ht="12">
      <c r="B9" s="2"/>
      <c r="D9" s="5" t="s">
        <v>19</v>
      </c>
      <c r="E9" s="5">
        <v>2</v>
      </c>
      <c r="F9" s="9"/>
      <c r="G9" s="5">
        <f>C2/1000000*-3+0.1</f>
        <v>-1.8551479999999998</v>
      </c>
      <c r="H9" s="3"/>
      <c r="I9" s="3"/>
      <c r="L9" s="2"/>
      <c r="M9" s="2"/>
      <c r="N9" s="2"/>
      <c r="R9" s="13">
        <v>20</v>
      </c>
      <c r="S9" s="13">
        <f>2*PI()*R9/44100</f>
        <v>0.002849517146113191</v>
      </c>
      <c r="T9" s="13">
        <f>4*SIN(S9/2)^2</f>
        <v>8.1197424718023E-06</v>
      </c>
      <c r="U9" s="14">
        <f>10*LOG10(($G$8+$G$9+$G$10)^2+($G$8*$G$10*T9-($G$9*($G$8+$G$10)+4*$G$8*$G$10))*T9)-10*LOG10((1+$G$11+$G$12)^2+(1*$G$12*T9-($G$11*(1+$G$12)+4*1*$G$12))*T9)</f>
        <v>0.001875856021701594</v>
      </c>
      <c r="V9" s="14"/>
      <c r="W9" s="14"/>
      <c r="X9" s="14"/>
      <c r="Y9" s="14"/>
      <c r="Z9" s="15"/>
      <c r="AE9" s="14" t="e">
        <f>10*LOG10((#REF!+#REF!+#REF!)^2+(#REF!*#REF!*$T9-(#REF!*(#REF!+#REF!)+4*#REF!*#REF!))*$T9)-10*LOG10((1+#REF!+#REF!)^2+(1*#REF!*$T9-(#REF!*(1+#REF!)+4*1*#REF!))*$T9)</f>
        <v>#REF!</v>
      </c>
      <c r="AF9" s="14" t="e">
        <f>10*LOG10((#REF!+#REF!+#REF!)^2+(#REF!*#REF!*$T9-(#REF!*(#REF!+#REF!)+4*#REF!*#REF!))*$T9)-10*LOG10((1+#REF!+#REF!)^2+(1*#REF!*$T9-(#REF!*(1+#REF!)+4*1*#REF!))*$T9)</f>
        <v>#REF!</v>
      </c>
      <c r="AG9" s="14" t="e">
        <f>10*LOG10((#REF!+#REF!+#REF!)^2+(#REF!*#REF!*$T9-(#REF!*(#REF!+#REF!)+4*#REF!*#REF!))*$T9)-10*LOG10((1+#REF!+#REF!)^2+(1*#REF!*$T9-(#REF!*(1+#REF!)+4*1*#REF!))*$T9)</f>
        <v>#REF!</v>
      </c>
      <c r="AH9" s="14" t="e">
        <f>10*LOG10((#REF!+#REF!+#REF!)^2+(#REF!*#REF!*$T9-(#REF!*(#REF!+#REF!)+4*#REF!*#REF!))*$T9)-10*LOG10((1+#REF!+#REF!)^2+(1*#REF!*$T9-(#REF!*(1+#REF!)+4*1*#REF!))*$T9)</f>
        <v>#REF!</v>
      </c>
      <c r="AI9" s="14" t="e">
        <f>10*LOG10((#REF!+#REF!+#REF!)^2+(#REF!*#REF!*$T9-(#REF!*(#REF!+#REF!)+4*#REF!*#REF!))*$T9)-10*LOG10((1+#REF!+#REF!)^2+(1*#REF!*$T9-(#REF!*(1+#REF!)+4*1*#REF!))*$T9)</f>
        <v>#REF!</v>
      </c>
      <c r="AJ9" s="15" t="e">
        <f>AE9+AF9+AG9+AH9+AI9</f>
        <v>#REF!</v>
      </c>
      <c r="AL9" s="1" t="e">
        <f aca="true" t="shared" si="0" ref="AL9:AL45">AJ9+Z9</f>
        <v>#REF!</v>
      </c>
    </row>
    <row r="10" spans="4:38" ht="12">
      <c r="D10" s="5" t="s">
        <v>20</v>
      </c>
      <c r="E10" s="5">
        <v>3</v>
      </c>
      <c r="F10" s="9"/>
      <c r="G10" s="5">
        <f>C3*1.15/1000000-0.1</f>
        <v>0.968074</v>
      </c>
      <c r="H10" s="3"/>
      <c r="I10" s="3"/>
      <c r="L10" s="2"/>
      <c r="M10" s="2"/>
      <c r="N10" s="2"/>
      <c r="R10" s="13">
        <v>24</v>
      </c>
      <c r="S10" s="13">
        <f aca="true" t="shared" si="1" ref="S10:S49">2*PI()*R10/44100</f>
        <v>0.003419420575335829</v>
      </c>
      <c r="T10" s="13">
        <f aca="true" t="shared" si="2" ref="T10:T49">4*SIN(S10/2)^2</f>
        <v>1.16924256782774E-05</v>
      </c>
      <c r="U10" s="14">
        <f aca="true" t="shared" si="3" ref="U10:U49">10*LOG10(($G$8+$G$9+$G$10)^2+($G$8*$G$10*T10-($G$9*($G$8+$G$10)+4*$G$8*$G$10))*T10)-10*LOG10((1+$G$11+$G$12)^2+(1*$G$12*T10-($G$11*(1+$G$12)+4*1*$G$12))*T10)</f>
        <v>0.0026532541094219653</v>
      </c>
      <c r="V10" s="14"/>
      <c r="W10" s="14"/>
      <c r="X10" s="14"/>
      <c r="Y10" s="14"/>
      <c r="Z10" s="15"/>
      <c r="AE10" s="14" t="e">
        <f>10*LOG10((#REF!+#REF!+#REF!)^2+(#REF!*#REF!*$T10-(#REF!*(#REF!+#REF!)+4*#REF!*#REF!))*$T10)-10*LOG10((1+#REF!+#REF!)^2+(1*#REF!*$T10-(#REF!*(1+#REF!)+4*1*#REF!))*$T10)</f>
        <v>#REF!</v>
      </c>
      <c r="AF10" s="14" t="e">
        <f>10*LOG10((#REF!+#REF!+#REF!)^2+(#REF!*#REF!*$T10-(#REF!*(#REF!+#REF!)+4*#REF!*#REF!))*$T10)-10*LOG10((1+#REF!+#REF!)^2+(1*#REF!*$T10-(#REF!*(1+#REF!)+4*1*#REF!))*$T10)</f>
        <v>#REF!</v>
      </c>
      <c r="AG10" s="14" t="e">
        <f>10*LOG10((#REF!+#REF!+#REF!)^2+(#REF!*#REF!*$T10-(#REF!*(#REF!+#REF!)+4*#REF!*#REF!))*$T10)-10*LOG10((1+#REF!+#REF!)^2+(1*#REF!*$T10-(#REF!*(1+#REF!)+4*1*#REF!))*$T10)</f>
        <v>#REF!</v>
      </c>
      <c r="AH10" s="14" t="e">
        <f>10*LOG10((#REF!+#REF!+#REF!)^2+(#REF!*#REF!*$T10-(#REF!*(#REF!+#REF!)+4*#REF!*#REF!))*$T10)-10*LOG10((1+#REF!+#REF!)^2+(1*#REF!*$T10-(#REF!*(1+#REF!)+4*1*#REF!))*$T10)</f>
        <v>#REF!</v>
      </c>
      <c r="AI10" s="14" t="e">
        <f>10*LOG10((#REF!+#REF!+#REF!)^2+(#REF!*#REF!*$T10-(#REF!*(#REF!+#REF!)+4*#REF!*#REF!))*$T10)-10*LOG10((1+#REF!+#REF!)^2+(1*#REF!*$T10-(#REF!*(1+#REF!)+4*1*#REF!))*$T10)</f>
        <v>#REF!</v>
      </c>
      <c r="AJ10" s="15" t="e">
        <f aca="true" t="shared" si="4" ref="AJ10:AJ45">AE10+AF10+AG10+AH10+AI10</f>
        <v>#REF!</v>
      </c>
      <c r="AL10" s="1" t="e">
        <f t="shared" si="0"/>
        <v>#REF!</v>
      </c>
    </row>
    <row r="11" spans="4:38" ht="12.75">
      <c r="D11" s="10" t="s">
        <v>21</v>
      </c>
      <c r="E11" s="5">
        <v>4</v>
      </c>
      <c r="F11" s="9"/>
      <c r="G11" s="5">
        <f>C4/1000000*-1-1.2</f>
        <v>-1.8596309999999998</v>
      </c>
      <c r="H11" s="3"/>
      <c r="I11" s="3"/>
      <c r="L11" s="2"/>
      <c r="M11" s="2"/>
      <c r="N11" s="2"/>
      <c r="R11" s="13">
        <v>28</v>
      </c>
      <c r="S11" s="13">
        <f t="shared" si="1"/>
        <v>0.003989324004558467</v>
      </c>
      <c r="T11" s="13">
        <f t="shared" si="2"/>
        <v>1.5914684906868644E-05</v>
      </c>
      <c r="U11" s="14">
        <f t="shared" si="3"/>
        <v>0.003571983902595832</v>
      </c>
      <c r="V11" s="14"/>
      <c r="W11" s="14"/>
      <c r="X11" s="14"/>
      <c r="Y11" s="14"/>
      <c r="Z11" s="15"/>
      <c r="AE11" s="14" t="e">
        <f>10*LOG10((#REF!+#REF!+#REF!)^2+(#REF!*#REF!*$T11-(#REF!*(#REF!+#REF!)+4*#REF!*#REF!))*$T11)-10*LOG10((1+#REF!+#REF!)^2+(1*#REF!*$T11-(#REF!*(1+#REF!)+4*1*#REF!))*$T11)</f>
        <v>#REF!</v>
      </c>
      <c r="AF11" s="14" t="e">
        <f>10*LOG10((#REF!+#REF!+#REF!)^2+(#REF!*#REF!*$T11-(#REF!*(#REF!+#REF!)+4*#REF!*#REF!))*$T11)-10*LOG10((1+#REF!+#REF!)^2+(1*#REF!*$T11-(#REF!*(1+#REF!)+4*1*#REF!))*$T11)</f>
        <v>#REF!</v>
      </c>
      <c r="AG11" s="14" t="e">
        <f>10*LOG10((#REF!+#REF!+#REF!)^2+(#REF!*#REF!*$T11-(#REF!*(#REF!+#REF!)+4*#REF!*#REF!))*$T11)-10*LOG10((1+#REF!+#REF!)^2+(1*#REF!*$T11-(#REF!*(1+#REF!)+4*1*#REF!))*$T11)</f>
        <v>#REF!</v>
      </c>
      <c r="AH11" s="14" t="e">
        <f>10*LOG10((#REF!+#REF!+#REF!)^2+(#REF!*#REF!*$T11-(#REF!*(#REF!+#REF!)+4*#REF!*#REF!))*$T11)-10*LOG10((1+#REF!+#REF!)^2+(1*#REF!*$T11-(#REF!*(1+#REF!)+4*1*#REF!))*$T11)</f>
        <v>#REF!</v>
      </c>
      <c r="AI11" s="14" t="e">
        <f>10*LOG10((#REF!+#REF!+#REF!)^2+(#REF!*#REF!*$T11-(#REF!*(#REF!+#REF!)+4*#REF!*#REF!))*$T11)-10*LOG10((1+#REF!+#REF!)^2+(1*#REF!*$T11-(#REF!*(1+#REF!)+4*1*#REF!))*$T11)</f>
        <v>#REF!</v>
      </c>
      <c r="AJ11" s="15" t="e">
        <f t="shared" si="4"/>
        <v>#REF!</v>
      </c>
      <c r="AL11" s="1" t="e">
        <f t="shared" si="0"/>
        <v>#REF!</v>
      </c>
    </row>
    <row r="12" spans="4:38" ht="12.75">
      <c r="D12" s="10" t="s">
        <v>22</v>
      </c>
      <c r="E12" s="5">
        <v>5</v>
      </c>
      <c r="F12" s="9"/>
      <c r="G12" s="5">
        <f>C5/1000000</f>
        <v>0.939315</v>
      </c>
      <c r="H12" s="3"/>
      <c r="I12" s="3"/>
      <c r="L12" s="2"/>
      <c r="M12" s="2"/>
      <c r="N12" s="2"/>
      <c r="R12" s="13">
        <v>34</v>
      </c>
      <c r="S12" s="13">
        <f t="shared" si="1"/>
        <v>0.004844179148392425</v>
      </c>
      <c r="T12" s="13">
        <f t="shared" si="2"/>
        <v>2.346602573371274E-05</v>
      </c>
      <c r="U12" s="14">
        <f t="shared" si="3"/>
        <v>0.005215060623033452</v>
      </c>
      <c r="V12" s="14"/>
      <c r="W12" s="14"/>
      <c r="X12" s="14"/>
      <c r="Y12" s="14"/>
      <c r="Z12" s="15"/>
      <c r="AE12" s="14" t="e">
        <f>10*LOG10((#REF!+#REF!+#REF!)^2+(#REF!*#REF!*$T12-(#REF!*(#REF!+#REF!)+4*#REF!*#REF!))*$T12)-10*LOG10((1+#REF!+#REF!)^2+(1*#REF!*$T12-(#REF!*(1+#REF!)+4*1*#REF!))*$T12)</f>
        <v>#REF!</v>
      </c>
      <c r="AF12" s="14" t="e">
        <f>10*LOG10((#REF!+#REF!+#REF!)^2+(#REF!*#REF!*$T12-(#REF!*(#REF!+#REF!)+4*#REF!*#REF!))*$T12)-10*LOG10((1+#REF!+#REF!)^2+(1*#REF!*$T12-(#REF!*(1+#REF!)+4*1*#REF!))*$T12)</f>
        <v>#REF!</v>
      </c>
      <c r="AG12" s="14" t="e">
        <f>10*LOG10((#REF!+#REF!+#REF!)^2+(#REF!*#REF!*$T12-(#REF!*(#REF!+#REF!)+4*#REF!*#REF!))*$T12)-10*LOG10((1+#REF!+#REF!)^2+(1*#REF!*$T12-(#REF!*(1+#REF!)+4*1*#REF!))*$T12)</f>
        <v>#REF!</v>
      </c>
      <c r="AH12" s="14" t="e">
        <f>10*LOG10((#REF!+#REF!+#REF!)^2+(#REF!*#REF!*$T12-(#REF!*(#REF!+#REF!)+4*#REF!*#REF!))*$T12)-10*LOG10((1+#REF!+#REF!)^2+(1*#REF!*$T12-(#REF!*(1+#REF!)+4*1*#REF!))*$T12)</f>
        <v>#REF!</v>
      </c>
      <c r="AI12" s="14" t="e">
        <f>10*LOG10((#REF!+#REF!+#REF!)^2+(#REF!*#REF!*$T12-(#REF!*(#REF!+#REF!)+4*#REF!*#REF!))*$T12)-10*LOG10((1+#REF!+#REF!)^2+(1*#REF!*$T12-(#REF!*(1+#REF!)+4*1*#REF!))*$T12)</f>
        <v>#REF!</v>
      </c>
      <c r="AJ12" s="15" t="e">
        <f t="shared" si="4"/>
        <v>#REF!</v>
      </c>
      <c r="AL12" s="1" t="e">
        <f t="shared" si="0"/>
        <v>#REF!</v>
      </c>
    </row>
    <row r="13" spans="8:38" ht="12.75">
      <c r="H13" s="3"/>
      <c r="I13" s="3"/>
      <c r="R13" s="13">
        <v>40</v>
      </c>
      <c r="S13" s="13">
        <f t="shared" si="1"/>
        <v>0.005699034292226382</v>
      </c>
      <c r="T13" s="13">
        <f t="shared" si="2"/>
        <v>3.2478903956991397E-05</v>
      </c>
      <c r="U13" s="14">
        <f t="shared" si="3"/>
        <v>0.007176091492539172</v>
      </c>
      <c r="V13" s="14"/>
      <c r="W13" s="14"/>
      <c r="X13" s="14"/>
      <c r="Y13" s="14"/>
      <c r="Z13" s="15"/>
      <c r="AE13" s="14" t="e">
        <f>10*LOG10((#REF!+#REF!+#REF!)^2+(#REF!*#REF!*$T13-(#REF!*(#REF!+#REF!)+4*#REF!*#REF!))*$T13)-10*LOG10((1+#REF!+#REF!)^2+(1*#REF!*$T13-(#REF!*(1+#REF!)+4*1*#REF!))*$T13)</f>
        <v>#REF!</v>
      </c>
      <c r="AF13" s="14" t="e">
        <f>10*LOG10((#REF!+#REF!+#REF!)^2+(#REF!*#REF!*$T13-(#REF!*(#REF!+#REF!)+4*#REF!*#REF!))*$T13)-10*LOG10((1+#REF!+#REF!)^2+(1*#REF!*$T13-(#REF!*(1+#REF!)+4*1*#REF!))*$T13)</f>
        <v>#REF!</v>
      </c>
      <c r="AG13" s="14" t="e">
        <f>10*LOG10((#REF!+#REF!+#REF!)^2+(#REF!*#REF!*$T13-(#REF!*(#REF!+#REF!)+4*#REF!*#REF!))*$T13)-10*LOG10((1+#REF!+#REF!)^2+(1*#REF!*$T13-(#REF!*(1+#REF!)+4*1*#REF!))*$T13)</f>
        <v>#REF!</v>
      </c>
      <c r="AH13" s="14" t="e">
        <f>10*LOG10((#REF!+#REF!+#REF!)^2+(#REF!*#REF!*$T13-(#REF!*(#REF!+#REF!)+4*#REF!*#REF!))*$T13)-10*LOG10((1+#REF!+#REF!)^2+(1*#REF!*$T13-(#REF!*(1+#REF!)+4*1*#REF!))*$T13)</f>
        <v>#REF!</v>
      </c>
      <c r="AI13" s="14" t="e">
        <f>10*LOG10((#REF!+#REF!+#REF!)^2+(#REF!*#REF!*$T13-(#REF!*(#REF!+#REF!)+4*#REF!*#REF!))*$T13)-10*LOG10((1+#REF!+#REF!)^2+(1*#REF!*$T13-(#REF!*(1+#REF!)+4*1*#REF!))*$T13)</f>
        <v>#REF!</v>
      </c>
      <c r="AJ13" s="15" t="e">
        <f t="shared" si="4"/>
        <v>#REF!</v>
      </c>
      <c r="AL13" s="1" t="e">
        <f t="shared" si="0"/>
        <v>#REF!</v>
      </c>
    </row>
    <row r="14" spans="8:38" ht="12.75">
      <c r="H14" s="3"/>
      <c r="I14" s="3"/>
      <c r="R14" s="13">
        <v>48</v>
      </c>
      <c r="S14" s="13">
        <f t="shared" si="1"/>
        <v>0.006838841150671658</v>
      </c>
      <c r="T14" s="13">
        <f t="shared" si="2"/>
        <v>4.676956600029135E-05</v>
      </c>
      <c r="U14" s="14">
        <f t="shared" si="3"/>
        <v>0.0102853385388606</v>
      </c>
      <c r="V14" s="14"/>
      <c r="W14" s="14"/>
      <c r="X14" s="14"/>
      <c r="Y14" s="14"/>
      <c r="Z14" s="15"/>
      <c r="AE14" s="14" t="e">
        <f>10*LOG10((#REF!+#REF!+#REF!)^2+(#REF!*#REF!*$T14-(#REF!*(#REF!+#REF!)+4*#REF!*#REF!))*$T14)-10*LOG10((1+#REF!+#REF!)^2+(1*#REF!*$T14-(#REF!*(1+#REF!)+4*1*#REF!))*$T14)</f>
        <v>#REF!</v>
      </c>
      <c r="AF14" s="14" t="e">
        <f>10*LOG10((#REF!+#REF!+#REF!)^2+(#REF!*#REF!*$T14-(#REF!*(#REF!+#REF!)+4*#REF!*#REF!))*$T14)-10*LOG10((1+#REF!+#REF!)^2+(1*#REF!*$T14-(#REF!*(1+#REF!)+4*1*#REF!))*$T14)</f>
        <v>#REF!</v>
      </c>
      <c r="AG14" s="14" t="e">
        <f>10*LOG10((#REF!+#REF!+#REF!)^2+(#REF!*#REF!*$T14-(#REF!*(#REF!+#REF!)+4*#REF!*#REF!))*$T14)-10*LOG10((1+#REF!+#REF!)^2+(1*#REF!*$T14-(#REF!*(1+#REF!)+4*1*#REF!))*$T14)</f>
        <v>#REF!</v>
      </c>
      <c r="AH14" s="14" t="e">
        <f>10*LOG10((#REF!+#REF!+#REF!)^2+(#REF!*#REF!*$T14-(#REF!*(#REF!+#REF!)+4*#REF!*#REF!))*$T14)-10*LOG10((1+#REF!+#REF!)^2+(1*#REF!*$T14-(#REF!*(1+#REF!)+4*1*#REF!))*$T14)</f>
        <v>#REF!</v>
      </c>
      <c r="AI14" s="14" t="e">
        <f>10*LOG10((#REF!+#REF!+#REF!)^2+(#REF!*#REF!*$T14-(#REF!*(#REF!+#REF!)+4*#REF!*#REF!))*$T14)-10*LOG10((1+#REF!+#REF!)^2+(1*#REF!*$T14-(#REF!*(1+#REF!)+4*1*#REF!))*$T14)</f>
        <v>#REF!</v>
      </c>
      <c r="AJ14" s="15" t="e">
        <f t="shared" si="4"/>
        <v>#REF!</v>
      </c>
      <c r="AL14" s="1" t="e">
        <f t="shared" si="0"/>
        <v>#REF!</v>
      </c>
    </row>
    <row r="15" spans="8:38" ht="12.75">
      <c r="H15" s="3"/>
      <c r="I15" s="3"/>
      <c r="R15" s="13">
        <v>57</v>
      </c>
      <c r="S15" s="13">
        <f t="shared" si="1"/>
        <v>0.008121123866422594</v>
      </c>
      <c r="T15" s="13">
        <f t="shared" si="2"/>
        <v>6.595229037520734E-05</v>
      </c>
      <c r="U15" s="14">
        <f t="shared" si="3"/>
        <v>0.014458712417354747</v>
      </c>
      <c r="V15" s="14"/>
      <c r="W15" s="14"/>
      <c r="X15" s="14"/>
      <c r="Y15" s="14"/>
      <c r="Z15" s="15"/>
      <c r="AE15" s="14" t="e">
        <f>10*LOG10((#REF!+#REF!+#REF!)^2+(#REF!*#REF!*$T15-(#REF!*(#REF!+#REF!)+4*#REF!*#REF!))*$T15)-10*LOG10((1+#REF!+#REF!)^2+(1*#REF!*$T15-(#REF!*(1+#REF!)+4*1*#REF!))*$T15)</f>
        <v>#REF!</v>
      </c>
      <c r="AF15" s="14" t="e">
        <f>10*LOG10((#REF!+#REF!+#REF!)^2+(#REF!*#REF!*$T15-(#REF!*(#REF!+#REF!)+4*#REF!*#REF!))*$T15)-10*LOG10((1+#REF!+#REF!)^2+(1*#REF!*$T15-(#REF!*(1+#REF!)+4*1*#REF!))*$T15)</f>
        <v>#REF!</v>
      </c>
      <c r="AG15" s="14" t="e">
        <f>10*LOG10((#REF!+#REF!+#REF!)^2+(#REF!*#REF!*$T15-(#REF!*(#REF!+#REF!)+4*#REF!*#REF!))*$T15)-10*LOG10((1+#REF!+#REF!)^2+(1*#REF!*$T15-(#REF!*(1+#REF!)+4*1*#REF!))*$T15)</f>
        <v>#REF!</v>
      </c>
      <c r="AH15" s="14" t="e">
        <f>10*LOG10((#REF!+#REF!+#REF!)^2+(#REF!*#REF!*$T15-(#REF!*(#REF!+#REF!)+4*#REF!*#REF!))*$T15)-10*LOG10((1+#REF!+#REF!)^2+(1*#REF!*$T15-(#REF!*(1+#REF!)+4*1*#REF!))*$T15)</f>
        <v>#REF!</v>
      </c>
      <c r="AI15" s="14" t="e">
        <f>10*LOG10((#REF!+#REF!+#REF!)^2+(#REF!*#REF!*$T15-(#REF!*(#REF!+#REF!)+4*#REF!*#REF!))*$T15)-10*LOG10((1+#REF!+#REF!)^2+(1*#REF!*$T15-(#REF!*(1+#REF!)+4*1*#REF!))*$T15)</f>
        <v>#REF!</v>
      </c>
      <c r="AJ15" s="15" t="e">
        <f t="shared" si="4"/>
        <v>#REF!</v>
      </c>
      <c r="AL15" s="1" t="e">
        <f t="shared" si="0"/>
        <v>#REF!</v>
      </c>
    </row>
    <row r="16" spans="8:38" ht="12.75">
      <c r="H16" s="3"/>
      <c r="I16" s="3"/>
      <c r="R16" s="13">
        <v>67</v>
      </c>
      <c r="S16" s="13">
        <f t="shared" si="1"/>
        <v>0.00954588243947919</v>
      </c>
      <c r="T16" s="13">
        <f t="shared" si="2"/>
        <v>9.11231795871285E-05</v>
      </c>
      <c r="U16" s="14">
        <f t="shared" si="3"/>
        <v>0.019934434061390505</v>
      </c>
      <c r="V16" s="14"/>
      <c r="W16" s="14"/>
      <c r="X16" s="14"/>
      <c r="Y16" s="14"/>
      <c r="Z16" s="15"/>
      <c r="AE16" s="14" t="e">
        <f>10*LOG10((#REF!+#REF!+#REF!)^2+(#REF!*#REF!*$T16-(#REF!*(#REF!+#REF!)+4*#REF!*#REF!))*$T16)-10*LOG10((1+#REF!+#REF!)^2+(1*#REF!*$T16-(#REF!*(1+#REF!)+4*1*#REF!))*$T16)</f>
        <v>#REF!</v>
      </c>
      <c r="AF16" s="14" t="e">
        <f>10*LOG10((#REF!+#REF!+#REF!)^2+(#REF!*#REF!*$T16-(#REF!*(#REF!+#REF!)+4*#REF!*#REF!))*$T16)-10*LOG10((1+#REF!+#REF!)^2+(1*#REF!*$T16-(#REF!*(1+#REF!)+4*1*#REF!))*$T16)</f>
        <v>#REF!</v>
      </c>
      <c r="AG16" s="14" t="e">
        <f>10*LOG10((#REF!+#REF!+#REF!)^2+(#REF!*#REF!*$T16-(#REF!*(#REF!+#REF!)+4*#REF!*#REF!))*$T16)-10*LOG10((1+#REF!+#REF!)^2+(1*#REF!*$T16-(#REF!*(1+#REF!)+4*1*#REF!))*$T16)</f>
        <v>#REF!</v>
      </c>
      <c r="AH16" s="14" t="e">
        <f>10*LOG10((#REF!+#REF!+#REF!)^2+(#REF!*#REF!*$T16-(#REF!*(#REF!+#REF!)+4*#REF!*#REF!))*$T16)-10*LOG10((1+#REF!+#REF!)^2+(1*#REF!*$T16-(#REF!*(1+#REF!)+4*1*#REF!))*$T16)</f>
        <v>#REF!</v>
      </c>
      <c r="AI16" s="14" t="e">
        <f>10*LOG10((#REF!+#REF!+#REF!)^2+(#REF!*#REF!*$T16-(#REF!*(#REF!+#REF!)+4*#REF!*#REF!))*$T16)-10*LOG10((1+#REF!+#REF!)^2+(1*#REF!*$T16-(#REF!*(1+#REF!)+4*1*#REF!))*$T16)</f>
        <v>#REF!</v>
      </c>
      <c r="AJ16" s="15" t="e">
        <f t="shared" si="4"/>
        <v>#REF!</v>
      </c>
      <c r="AL16" s="1" t="e">
        <f t="shared" si="0"/>
        <v>#REF!</v>
      </c>
    </row>
    <row r="17" spans="8:38" ht="12.75">
      <c r="H17" s="3"/>
      <c r="I17" s="3"/>
      <c r="R17" s="13">
        <v>80</v>
      </c>
      <c r="S17" s="13">
        <f t="shared" si="1"/>
        <v>0.011398068584452765</v>
      </c>
      <c r="T17" s="13">
        <f t="shared" si="2"/>
        <v>0.00012991456094876334</v>
      </c>
      <c r="U17" s="14">
        <f t="shared" si="3"/>
        <v>0.02837222765706926</v>
      </c>
      <c r="V17" s="14"/>
      <c r="W17" s="14"/>
      <c r="X17" s="14"/>
      <c r="Y17" s="14"/>
      <c r="Z17" s="15"/>
      <c r="AE17" s="14" t="e">
        <f>10*LOG10((#REF!+#REF!+#REF!)^2+(#REF!*#REF!*$T17-(#REF!*(#REF!+#REF!)+4*#REF!*#REF!))*$T17)-10*LOG10((1+#REF!+#REF!)^2+(1*#REF!*$T17-(#REF!*(1+#REF!)+4*1*#REF!))*$T17)</f>
        <v>#REF!</v>
      </c>
      <c r="AF17" s="14" t="e">
        <f>10*LOG10((#REF!+#REF!+#REF!)^2+(#REF!*#REF!*$T17-(#REF!*(#REF!+#REF!)+4*#REF!*#REF!))*$T17)-10*LOG10((1+#REF!+#REF!)^2+(1*#REF!*$T17-(#REF!*(1+#REF!)+4*1*#REF!))*$T17)</f>
        <v>#REF!</v>
      </c>
      <c r="AG17" s="14" t="e">
        <f>10*LOG10((#REF!+#REF!+#REF!)^2+(#REF!*#REF!*$T17-(#REF!*(#REF!+#REF!)+4*#REF!*#REF!))*$T17)-10*LOG10((1+#REF!+#REF!)^2+(1*#REF!*$T17-(#REF!*(1+#REF!)+4*1*#REF!))*$T17)</f>
        <v>#REF!</v>
      </c>
      <c r="AH17" s="14" t="e">
        <f>10*LOG10((#REF!+#REF!+#REF!)^2+(#REF!*#REF!*$T17-(#REF!*(#REF!+#REF!)+4*#REF!*#REF!))*$T17)-10*LOG10((1+#REF!+#REF!)^2+(1*#REF!*$T17-(#REF!*(1+#REF!)+4*1*#REF!))*$T17)</f>
        <v>#REF!</v>
      </c>
      <c r="AI17" s="14" t="e">
        <f>10*LOG10((#REF!+#REF!+#REF!)^2+(#REF!*#REF!*$T17-(#REF!*(#REF!+#REF!)+4*#REF!*#REF!))*$T17)-10*LOG10((1+#REF!+#REF!)^2+(1*#REF!*$T17-(#REF!*(1+#REF!)+4*1*#REF!))*$T17)</f>
        <v>#REF!</v>
      </c>
      <c r="AJ17" s="15" t="e">
        <f t="shared" si="4"/>
        <v>#REF!</v>
      </c>
      <c r="AL17" s="1" t="e">
        <f t="shared" si="0"/>
        <v>#REF!</v>
      </c>
    </row>
    <row r="18" spans="18:38" ht="12.75">
      <c r="R18" s="13">
        <v>95</v>
      </c>
      <c r="S18" s="13">
        <f t="shared" si="1"/>
        <v>0.013535206444037658</v>
      </c>
      <c r="T18" s="13">
        <f t="shared" si="2"/>
        <v>0.00018319901659109316</v>
      </c>
      <c r="U18" s="14">
        <f t="shared" si="3"/>
        <v>0.03996063558664886</v>
      </c>
      <c r="V18" s="14"/>
      <c r="W18" s="14"/>
      <c r="X18" s="14"/>
      <c r="Y18" s="14"/>
      <c r="Z18" s="15"/>
      <c r="AE18" s="14" t="e">
        <f>10*LOG10((#REF!+#REF!+#REF!)^2+(#REF!*#REF!*$T18-(#REF!*(#REF!+#REF!)+4*#REF!*#REF!))*$T18)-10*LOG10((1+#REF!+#REF!)^2+(1*#REF!*$T18-(#REF!*(1+#REF!)+4*1*#REF!))*$T18)</f>
        <v>#REF!</v>
      </c>
      <c r="AF18" s="14" t="e">
        <f>10*LOG10((#REF!+#REF!+#REF!)^2+(#REF!*#REF!*$T18-(#REF!*(#REF!+#REF!)+4*#REF!*#REF!))*$T18)-10*LOG10((1+#REF!+#REF!)^2+(1*#REF!*$T18-(#REF!*(1+#REF!)+4*1*#REF!))*$T18)</f>
        <v>#REF!</v>
      </c>
      <c r="AG18" s="14" t="e">
        <f>10*LOG10((#REF!+#REF!+#REF!)^2+(#REF!*#REF!*$T18-(#REF!*(#REF!+#REF!)+4*#REF!*#REF!))*$T18)-10*LOG10((1+#REF!+#REF!)^2+(1*#REF!*$T18-(#REF!*(1+#REF!)+4*1*#REF!))*$T18)</f>
        <v>#REF!</v>
      </c>
      <c r="AH18" s="14" t="e">
        <f>10*LOG10((#REF!+#REF!+#REF!)^2+(#REF!*#REF!*$T18-(#REF!*(#REF!+#REF!)+4*#REF!*#REF!))*$T18)-10*LOG10((1+#REF!+#REF!)^2+(1*#REF!*$T18-(#REF!*(1+#REF!)+4*1*#REF!))*$T18)</f>
        <v>#REF!</v>
      </c>
      <c r="AI18" s="14" t="e">
        <f>10*LOG10((#REF!+#REF!+#REF!)^2+(#REF!*#REF!*$T18-(#REF!*(#REF!+#REF!)+4*#REF!*#REF!))*$T18)-10*LOG10((1+#REF!+#REF!)^2+(1*#REF!*$T18-(#REF!*(1+#REF!)+4*1*#REF!))*$T18)</f>
        <v>#REF!</v>
      </c>
      <c r="AJ18" s="15" t="e">
        <f t="shared" si="4"/>
        <v>#REF!</v>
      </c>
      <c r="AL18" s="1" t="e">
        <f t="shared" si="0"/>
        <v>#REF!</v>
      </c>
    </row>
    <row r="19" spans="18:38" ht="12.75">
      <c r="R19" s="13">
        <v>114</v>
      </c>
      <c r="S19" s="13">
        <f t="shared" si="1"/>
        <v>0.01624224773284519</v>
      </c>
      <c r="T19" s="13">
        <f t="shared" si="2"/>
        <v>0.0002638048117962237</v>
      </c>
      <c r="U19" s="14">
        <f t="shared" si="3"/>
        <v>0.057486839483228636</v>
      </c>
      <c r="V19" s="14"/>
      <c r="W19" s="14"/>
      <c r="X19" s="14"/>
      <c r="Y19" s="14"/>
      <c r="Z19" s="15"/>
      <c r="AE19" s="14" t="e">
        <f>10*LOG10((#REF!+#REF!+#REF!)^2+(#REF!*#REF!*$T19-(#REF!*(#REF!+#REF!)+4*#REF!*#REF!))*$T19)-10*LOG10((1+#REF!+#REF!)^2+(1*#REF!*$T19-(#REF!*(1+#REF!)+4*1*#REF!))*$T19)</f>
        <v>#REF!</v>
      </c>
      <c r="AF19" s="14" t="e">
        <f>10*LOG10((#REF!+#REF!+#REF!)^2+(#REF!*#REF!*$T19-(#REF!*(#REF!+#REF!)+4*#REF!*#REF!))*$T19)-10*LOG10((1+#REF!+#REF!)^2+(1*#REF!*$T19-(#REF!*(1+#REF!)+4*1*#REF!))*$T19)</f>
        <v>#REF!</v>
      </c>
      <c r="AG19" s="14" t="e">
        <f>10*LOG10((#REF!+#REF!+#REF!)^2+(#REF!*#REF!*$T19-(#REF!*(#REF!+#REF!)+4*#REF!*#REF!))*$T19)-10*LOG10((1+#REF!+#REF!)^2+(1*#REF!*$T19-(#REF!*(1+#REF!)+4*1*#REF!))*$T19)</f>
        <v>#REF!</v>
      </c>
      <c r="AH19" s="14" t="e">
        <f>10*LOG10((#REF!+#REF!+#REF!)^2+(#REF!*#REF!*$T19-(#REF!*(#REF!+#REF!)+4*#REF!*#REF!))*$T19)-10*LOG10((1+#REF!+#REF!)^2+(1*#REF!*$T19-(#REF!*(1+#REF!)+4*1*#REF!))*$T19)</f>
        <v>#REF!</v>
      </c>
      <c r="AI19" s="14" t="e">
        <f>10*LOG10((#REF!+#REF!+#REF!)^2+(#REF!*#REF!*$T19-(#REF!*(#REF!+#REF!)+4*#REF!*#REF!))*$T19)-10*LOG10((1+#REF!+#REF!)^2+(1*#REF!*$T19-(#REF!*(1+#REF!)+4*1*#REF!))*$T19)</f>
        <v>#REF!</v>
      </c>
      <c r="AJ19" s="15" t="e">
        <f t="shared" si="4"/>
        <v>#REF!</v>
      </c>
      <c r="AL19" s="1" t="e">
        <f t="shared" si="0"/>
        <v>#REF!</v>
      </c>
    </row>
    <row r="20" spans="18:38" ht="12.75">
      <c r="R20" s="13">
        <v>135</v>
      </c>
      <c r="S20" s="13">
        <f t="shared" si="1"/>
        <v>0.01923424073626404</v>
      </c>
      <c r="T20" s="13">
        <f t="shared" si="2"/>
        <v>0.0003699446112200196</v>
      </c>
      <c r="U20" s="14">
        <f t="shared" si="3"/>
        <v>0.08055747239354716</v>
      </c>
      <c r="V20" s="14"/>
      <c r="W20" s="14"/>
      <c r="X20" s="14"/>
      <c r="Y20" s="14"/>
      <c r="Z20" s="15"/>
      <c r="AE20" s="14" t="e">
        <f>10*LOG10((#REF!+#REF!+#REF!)^2+(#REF!*#REF!*$T20-(#REF!*(#REF!+#REF!)+4*#REF!*#REF!))*$T20)-10*LOG10((1+#REF!+#REF!)^2+(1*#REF!*$T20-(#REF!*(1+#REF!)+4*1*#REF!))*$T20)</f>
        <v>#REF!</v>
      </c>
      <c r="AF20" s="14" t="e">
        <f>10*LOG10((#REF!+#REF!+#REF!)^2+(#REF!*#REF!*$T20-(#REF!*(#REF!+#REF!)+4*#REF!*#REF!))*$T20)-10*LOG10((1+#REF!+#REF!)^2+(1*#REF!*$T20-(#REF!*(1+#REF!)+4*1*#REF!))*$T20)</f>
        <v>#REF!</v>
      </c>
      <c r="AG20" s="14" t="e">
        <f>10*LOG10((#REF!+#REF!+#REF!)^2+(#REF!*#REF!*$T20-(#REF!*(#REF!+#REF!)+4*#REF!*#REF!))*$T20)-10*LOG10((1+#REF!+#REF!)^2+(1*#REF!*$T20-(#REF!*(1+#REF!)+4*1*#REF!))*$T20)</f>
        <v>#REF!</v>
      </c>
      <c r="AH20" s="14" t="e">
        <f>10*LOG10((#REF!+#REF!+#REF!)^2+(#REF!*#REF!*$T20-(#REF!*(#REF!+#REF!)+4*#REF!*#REF!))*$T20)-10*LOG10((1+#REF!+#REF!)^2+(1*#REF!*$T20-(#REF!*(1+#REF!)+4*1*#REF!))*$T20)</f>
        <v>#REF!</v>
      </c>
      <c r="AI20" s="14" t="e">
        <f>10*LOG10((#REF!+#REF!+#REF!)^2+(#REF!*#REF!*$T20-(#REF!*(#REF!+#REF!)+4*#REF!*#REF!))*$T20)-10*LOG10((1+#REF!+#REF!)^2+(1*#REF!*$T20-(#REF!*(1+#REF!)+4*1*#REF!))*$T20)</f>
        <v>#REF!</v>
      </c>
      <c r="AJ20" s="15" t="e">
        <f t="shared" si="4"/>
        <v>#REF!</v>
      </c>
      <c r="AL20" s="1" t="e">
        <f t="shared" si="0"/>
        <v>#REF!</v>
      </c>
    </row>
    <row r="21" spans="18:38" ht="12.75">
      <c r="R21" s="13">
        <v>160</v>
      </c>
      <c r="S21" s="13">
        <f t="shared" si="1"/>
        <v>0.02279613716890553</v>
      </c>
      <c r="T21" s="13">
        <f t="shared" si="2"/>
        <v>0.0005196413660019068</v>
      </c>
      <c r="U21" s="14">
        <f t="shared" si="3"/>
        <v>0.11308148329383982</v>
      </c>
      <c r="V21" s="14"/>
      <c r="W21" s="14"/>
      <c r="X21" s="14"/>
      <c r="Y21" s="14"/>
      <c r="Z21" s="15"/>
      <c r="AE21" s="14" t="e">
        <f>10*LOG10((#REF!+#REF!+#REF!)^2+(#REF!*#REF!*$T21-(#REF!*(#REF!+#REF!)+4*#REF!*#REF!))*$T21)-10*LOG10((1+#REF!+#REF!)^2+(1*#REF!*$T21-(#REF!*(1+#REF!)+4*1*#REF!))*$T21)</f>
        <v>#REF!</v>
      </c>
      <c r="AF21" s="14" t="e">
        <f>10*LOG10((#REF!+#REF!+#REF!)^2+(#REF!*#REF!*$T21-(#REF!*(#REF!+#REF!)+4*#REF!*#REF!))*$T21)-10*LOG10((1+#REF!+#REF!)^2+(1*#REF!*$T21-(#REF!*(1+#REF!)+4*1*#REF!))*$T21)</f>
        <v>#REF!</v>
      </c>
      <c r="AG21" s="14" t="e">
        <f>10*LOG10((#REF!+#REF!+#REF!)^2+(#REF!*#REF!*$T21-(#REF!*(#REF!+#REF!)+4*#REF!*#REF!))*$T21)-10*LOG10((1+#REF!+#REF!)^2+(1*#REF!*$T21-(#REF!*(1+#REF!)+4*1*#REF!))*$T21)</f>
        <v>#REF!</v>
      </c>
      <c r="AH21" s="14" t="e">
        <f>10*LOG10((#REF!+#REF!+#REF!)^2+(#REF!*#REF!*$T21-(#REF!*(#REF!+#REF!)+4*#REF!*#REF!))*$T21)-10*LOG10((1+#REF!+#REF!)^2+(1*#REF!*$T21-(#REF!*(1+#REF!)+4*1*#REF!))*$T21)</f>
        <v>#REF!</v>
      </c>
      <c r="AI21" s="14" t="e">
        <f>10*LOG10((#REF!+#REF!+#REF!)^2+(#REF!*#REF!*$T21-(#REF!*(#REF!+#REF!)+4*#REF!*#REF!))*$T21)-10*LOG10((1+#REF!+#REF!)^2+(1*#REF!*$T21-(#REF!*(1+#REF!)+4*1*#REF!))*$T21)</f>
        <v>#REF!</v>
      </c>
      <c r="AJ21" s="15" t="e">
        <f t="shared" si="4"/>
        <v>#REF!</v>
      </c>
      <c r="AL21" s="1" t="e">
        <f t="shared" si="0"/>
        <v>#REF!</v>
      </c>
    </row>
    <row r="22" spans="18:38" ht="12.75">
      <c r="R22" s="13">
        <v>191</v>
      </c>
      <c r="S22" s="13">
        <f t="shared" si="1"/>
        <v>0.027212888745380973</v>
      </c>
      <c r="T22" s="13">
        <f t="shared" si="2"/>
        <v>0.0007404956148767662</v>
      </c>
      <c r="U22" s="14">
        <f t="shared" si="3"/>
        <v>0.1610358929168747</v>
      </c>
      <c r="V22" s="14"/>
      <c r="W22" s="14"/>
      <c r="X22" s="14"/>
      <c r="Y22" s="14"/>
      <c r="Z22" s="15"/>
      <c r="AE22" s="14" t="e">
        <f>10*LOG10((#REF!+#REF!+#REF!)^2+(#REF!*#REF!*$T22-(#REF!*(#REF!+#REF!)+4*#REF!*#REF!))*$T22)-10*LOG10((1+#REF!+#REF!)^2+(1*#REF!*$T22-(#REF!*(1+#REF!)+4*1*#REF!))*$T22)</f>
        <v>#REF!</v>
      </c>
      <c r="AF22" s="14" t="e">
        <f>10*LOG10((#REF!+#REF!+#REF!)^2+(#REF!*#REF!*$T22-(#REF!*(#REF!+#REF!)+4*#REF!*#REF!))*$T22)-10*LOG10((1+#REF!+#REF!)^2+(1*#REF!*$T22-(#REF!*(1+#REF!)+4*1*#REF!))*$T22)</f>
        <v>#REF!</v>
      </c>
      <c r="AG22" s="14" t="e">
        <f>10*LOG10((#REF!+#REF!+#REF!)^2+(#REF!*#REF!*$T22-(#REF!*(#REF!+#REF!)+4*#REF!*#REF!))*$T22)-10*LOG10((1+#REF!+#REF!)^2+(1*#REF!*$T22-(#REF!*(1+#REF!)+4*1*#REF!))*$T22)</f>
        <v>#REF!</v>
      </c>
      <c r="AH22" s="14" t="e">
        <f>10*LOG10((#REF!+#REF!+#REF!)^2+(#REF!*#REF!*$T22-(#REF!*(#REF!+#REF!)+4*#REF!*#REF!))*$T22)-10*LOG10((1+#REF!+#REF!)^2+(1*#REF!*$T22-(#REF!*(1+#REF!)+4*1*#REF!))*$T22)</f>
        <v>#REF!</v>
      </c>
      <c r="AI22" s="14" t="e">
        <f>10*LOG10((#REF!+#REF!+#REF!)^2+(#REF!*#REF!*$T22-(#REF!*(#REF!+#REF!)+4*#REF!*#REF!))*$T22)-10*LOG10((1+#REF!+#REF!)^2+(1*#REF!*$T22-(#REF!*(1+#REF!)+4*1*#REF!))*$T22)</f>
        <v>#REF!</v>
      </c>
      <c r="AJ22" s="15" t="e">
        <f t="shared" si="4"/>
        <v>#REF!</v>
      </c>
      <c r="AL22" s="1" t="e">
        <f t="shared" si="0"/>
        <v>#REF!</v>
      </c>
    </row>
    <row r="23" spans="18:38" ht="12.75">
      <c r="R23" s="13">
        <v>227</v>
      </c>
      <c r="S23" s="13">
        <f t="shared" si="1"/>
        <v>0.03234201960838472</v>
      </c>
      <c r="T23" s="13">
        <f t="shared" si="2"/>
        <v>0.001045915058108311</v>
      </c>
      <c r="U23" s="14">
        <f t="shared" si="3"/>
        <v>0.2272954829151601</v>
      </c>
      <c r="V23" s="14"/>
      <c r="W23" s="14"/>
      <c r="X23" s="14"/>
      <c r="Y23" s="14"/>
      <c r="Z23" s="15"/>
      <c r="AE23" s="14" t="e">
        <f>10*LOG10((#REF!+#REF!+#REF!)^2+(#REF!*#REF!*$T23-(#REF!*(#REF!+#REF!)+4*#REF!*#REF!))*$T23)-10*LOG10((1+#REF!+#REF!)^2+(1*#REF!*$T23-(#REF!*(1+#REF!)+4*1*#REF!))*$T23)</f>
        <v>#REF!</v>
      </c>
      <c r="AF23" s="14" t="e">
        <f>10*LOG10((#REF!+#REF!+#REF!)^2+(#REF!*#REF!*$T23-(#REF!*(#REF!+#REF!)+4*#REF!*#REF!))*$T23)-10*LOG10((1+#REF!+#REF!)^2+(1*#REF!*$T23-(#REF!*(1+#REF!)+4*1*#REF!))*$T23)</f>
        <v>#REF!</v>
      </c>
      <c r="AG23" s="14" t="e">
        <f>10*LOG10((#REF!+#REF!+#REF!)^2+(#REF!*#REF!*$T23-(#REF!*(#REF!+#REF!)+4*#REF!*#REF!))*$T23)-10*LOG10((1+#REF!+#REF!)^2+(1*#REF!*$T23-(#REF!*(1+#REF!)+4*1*#REF!))*$T23)</f>
        <v>#REF!</v>
      </c>
      <c r="AH23" s="14" t="e">
        <f>10*LOG10((#REF!+#REF!+#REF!)^2+(#REF!*#REF!*$T23-(#REF!*(#REF!+#REF!)+4*#REF!*#REF!))*$T23)-10*LOG10((1+#REF!+#REF!)^2+(1*#REF!*$T23-(#REF!*(1+#REF!)+4*1*#REF!))*$T23)</f>
        <v>#REF!</v>
      </c>
      <c r="AI23" s="14" t="e">
        <f>10*LOG10((#REF!+#REF!+#REF!)^2+(#REF!*#REF!*$T23-(#REF!*(#REF!+#REF!)+4*#REF!*#REF!))*$T23)-10*LOG10((1+#REF!+#REF!)^2+(1*#REF!*$T23-(#REF!*(1+#REF!)+4*1*#REF!))*$T23)</f>
        <v>#REF!</v>
      </c>
      <c r="AJ23" s="15" t="e">
        <f t="shared" si="4"/>
        <v>#REF!</v>
      </c>
      <c r="AL23" s="1" t="e">
        <f t="shared" si="0"/>
        <v>#REF!</v>
      </c>
    </row>
    <row r="24" spans="18:38" ht="12.75">
      <c r="R24" s="13">
        <v>270</v>
      </c>
      <c r="S24" s="13">
        <f t="shared" si="1"/>
        <v>0.03846848147252808</v>
      </c>
      <c r="T24" s="13">
        <f t="shared" si="2"/>
        <v>0.001479641585864708</v>
      </c>
      <c r="U24" s="14">
        <f t="shared" si="3"/>
        <v>0.3212828676351407</v>
      </c>
      <c r="V24" s="14"/>
      <c r="W24" s="14"/>
      <c r="X24" s="14"/>
      <c r="Y24" s="14"/>
      <c r="Z24" s="15"/>
      <c r="AE24" s="14" t="e">
        <f>10*LOG10((#REF!+#REF!+#REF!)^2+(#REF!*#REF!*$T24-(#REF!*(#REF!+#REF!)+4*#REF!*#REF!))*$T24)-10*LOG10((1+#REF!+#REF!)^2+(1*#REF!*$T24-(#REF!*(1+#REF!)+4*1*#REF!))*$T24)</f>
        <v>#REF!</v>
      </c>
      <c r="AF24" s="14" t="e">
        <f>10*LOG10((#REF!+#REF!+#REF!)^2+(#REF!*#REF!*$T24-(#REF!*(#REF!+#REF!)+4*#REF!*#REF!))*$T24)-10*LOG10((1+#REF!+#REF!)^2+(1*#REF!*$T24-(#REF!*(1+#REF!)+4*1*#REF!))*$T24)</f>
        <v>#REF!</v>
      </c>
      <c r="AG24" s="14" t="e">
        <f>10*LOG10((#REF!+#REF!+#REF!)^2+(#REF!*#REF!*$T24-(#REF!*(#REF!+#REF!)+4*#REF!*#REF!))*$T24)-10*LOG10((1+#REF!+#REF!)^2+(1*#REF!*$T24-(#REF!*(1+#REF!)+4*1*#REF!))*$T24)</f>
        <v>#REF!</v>
      </c>
      <c r="AH24" s="14" t="e">
        <f>10*LOG10((#REF!+#REF!+#REF!)^2+(#REF!*#REF!*$T24-(#REF!*(#REF!+#REF!)+4*#REF!*#REF!))*$T24)-10*LOG10((1+#REF!+#REF!)^2+(1*#REF!*$T24-(#REF!*(1+#REF!)+4*1*#REF!))*$T24)</f>
        <v>#REF!</v>
      </c>
      <c r="AI24" s="14" t="e">
        <f>10*LOG10((#REF!+#REF!+#REF!)^2+(#REF!*#REF!*$T24-(#REF!*(#REF!+#REF!)+4*#REF!*#REF!))*$T24)-10*LOG10((1+#REF!+#REF!)^2+(1*#REF!*$T24-(#REF!*(1+#REF!)+4*1*#REF!))*$T24)</f>
        <v>#REF!</v>
      </c>
      <c r="AJ24" s="15" t="e">
        <f t="shared" si="4"/>
        <v>#REF!</v>
      </c>
      <c r="AL24" s="1" t="e">
        <f t="shared" si="0"/>
        <v>#REF!</v>
      </c>
    </row>
    <row r="25" spans="18:38" ht="12.75">
      <c r="R25" s="13">
        <v>320</v>
      </c>
      <c r="S25" s="13">
        <f t="shared" si="1"/>
        <v>0.04559227433781106</v>
      </c>
      <c r="T25" s="13">
        <f t="shared" si="2"/>
        <v>0.0020782954368583667</v>
      </c>
      <c r="U25" s="14">
        <f t="shared" si="3"/>
        <v>0.4508145139655433</v>
      </c>
      <c r="V25" s="14"/>
      <c r="W25" s="14"/>
      <c r="X25" s="14"/>
      <c r="Y25" s="14"/>
      <c r="Z25" s="15"/>
      <c r="AE25" s="14" t="e">
        <f>10*LOG10((#REF!+#REF!+#REF!)^2+(#REF!*#REF!*$T25-(#REF!*(#REF!+#REF!)+4*#REF!*#REF!))*$T25)-10*LOG10((1+#REF!+#REF!)^2+(1*#REF!*$T25-(#REF!*(1+#REF!)+4*1*#REF!))*$T25)</f>
        <v>#REF!</v>
      </c>
      <c r="AF25" s="14" t="e">
        <f>10*LOG10((#REF!+#REF!+#REF!)^2+(#REF!*#REF!*$T25-(#REF!*(#REF!+#REF!)+4*#REF!*#REF!))*$T25)-10*LOG10((1+#REF!+#REF!)^2+(1*#REF!*$T25-(#REF!*(1+#REF!)+4*1*#REF!))*$T25)</f>
        <v>#REF!</v>
      </c>
      <c r="AG25" s="14" t="e">
        <f>10*LOG10((#REF!+#REF!+#REF!)^2+(#REF!*#REF!*$T25-(#REF!*(#REF!+#REF!)+4*#REF!*#REF!))*$T25)-10*LOG10((1+#REF!+#REF!)^2+(1*#REF!*$T25-(#REF!*(1+#REF!)+4*1*#REF!))*$T25)</f>
        <v>#REF!</v>
      </c>
      <c r="AH25" s="14" t="e">
        <f>10*LOG10((#REF!+#REF!+#REF!)^2+(#REF!*#REF!*$T25-(#REF!*(#REF!+#REF!)+4*#REF!*#REF!))*$T25)-10*LOG10((1+#REF!+#REF!)^2+(1*#REF!*$T25-(#REF!*(1+#REF!)+4*1*#REF!))*$T25)</f>
        <v>#REF!</v>
      </c>
      <c r="AI25" s="14" t="e">
        <f>10*LOG10((#REF!+#REF!+#REF!)^2+(#REF!*#REF!*$T25-(#REF!*(#REF!+#REF!)+4*#REF!*#REF!))*$T25)-10*LOG10((1+#REF!+#REF!)^2+(1*#REF!*$T25-(#REF!*(1+#REF!)+4*1*#REF!))*$T25)</f>
        <v>#REF!</v>
      </c>
      <c r="AJ25" s="15" t="e">
        <f t="shared" si="4"/>
        <v>#REF!</v>
      </c>
      <c r="AL25" s="1" t="e">
        <f t="shared" si="0"/>
        <v>#REF!</v>
      </c>
    </row>
    <row r="26" spans="18:38" ht="12.75">
      <c r="R26" s="13">
        <v>383</v>
      </c>
      <c r="S26" s="13">
        <f t="shared" si="1"/>
        <v>0.05456825334806761</v>
      </c>
      <c r="T26" s="13">
        <f t="shared" si="2"/>
        <v>0.0029769554581956206</v>
      </c>
      <c r="U26" s="14">
        <f t="shared" si="3"/>
        <v>0.6448745242960783</v>
      </c>
      <c r="V26" s="14"/>
      <c r="W26" s="14"/>
      <c r="X26" s="14"/>
      <c r="Y26" s="14"/>
      <c r="Z26" s="15"/>
      <c r="AE26" s="14" t="e">
        <f>10*LOG10((#REF!+#REF!+#REF!)^2+(#REF!*#REF!*$T26-(#REF!*(#REF!+#REF!)+4*#REF!*#REF!))*$T26)-10*LOG10((1+#REF!+#REF!)^2+(1*#REF!*$T26-(#REF!*(1+#REF!)+4*1*#REF!))*$T26)</f>
        <v>#REF!</v>
      </c>
      <c r="AF26" s="14" t="e">
        <f>10*LOG10((#REF!+#REF!+#REF!)^2+(#REF!*#REF!*$T26-(#REF!*(#REF!+#REF!)+4*#REF!*#REF!))*$T26)-10*LOG10((1+#REF!+#REF!)^2+(1*#REF!*$T26-(#REF!*(1+#REF!)+4*1*#REF!))*$T26)</f>
        <v>#REF!</v>
      </c>
      <c r="AG26" s="14" t="e">
        <f>10*LOG10((#REF!+#REF!+#REF!)^2+(#REF!*#REF!*$T26-(#REF!*(#REF!+#REF!)+4*#REF!*#REF!))*$T26)-10*LOG10((1+#REF!+#REF!)^2+(1*#REF!*$T26-(#REF!*(1+#REF!)+4*1*#REF!))*$T26)</f>
        <v>#REF!</v>
      </c>
      <c r="AH26" s="14" t="e">
        <f>10*LOG10((#REF!+#REF!+#REF!)^2+(#REF!*#REF!*$T26-(#REF!*(#REF!+#REF!)+4*#REF!*#REF!))*$T26)-10*LOG10((1+#REF!+#REF!)^2+(1*#REF!*$T26-(#REF!*(1+#REF!)+4*1*#REF!))*$T26)</f>
        <v>#REF!</v>
      </c>
      <c r="AI26" s="14" t="e">
        <f>10*LOG10((#REF!+#REF!+#REF!)^2+(#REF!*#REF!*$T26-(#REF!*(#REF!+#REF!)+4*#REF!*#REF!))*$T26)-10*LOG10((1+#REF!+#REF!)^2+(1*#REF!*$T26-(#REF!*(1+#REF!)+4*1*#REF!))*$T26)</f>
        <v>#REF!</v>
      </c>
      <c r="AJ26" s="15" t="e">
        <f t="shared" si="4"/>
        <v>#REF!</v>
      </c>
      <c r="AL26" s="1" t="e">
        <f t="shared" si="0"/>
        <v>#REF!</v>
      </c>
    </row>
    <row r="27" spans="18:38" ht="12.75">
      <c r="R27" s="13">
        <v>456</v>
      </c>
      <c r="S27" s="13">
        <f t="shared" si="1"/>
        <v>0.06496899093138075</v>
      </c>
      <c r="T27" s="13">
        <f t="shared" si="2"/>
        <v>0.004219485276031899</v>
      </c>
      <c r="U27" s="14">
        <f t="shared" si="3"/>
        <v>0.9125410464267176</v>
      </c>
      <c r="V27" s="14"/>
      <c r="W27" s="14"/>
      <c r="X27" s="14"/>
      <c r="Y27" s="14"/>
      <c r="Z27" s="15"/>
      <c r="AE27" s="14" t="e">
        <f>10*LOG10((#REF!+#REF!+#REF!)^2+(#REF!*#REF!*$T27-(#REF!*(#REF!+#REF!)+4*#REF!*#REF!))*$T27)-10*LOG10((1+#REF!+#REF!)^2+(1*#REF!*$T27-(#REF!*(1+#REF!)+4*1*#REF!))*$T27)</f>
        <v>#REF!</v>
      </c>
      <c r="AF27" s="14" t="e">
        <f>10*LOG10((#REF!+#REF!+#REF!)^2+(#REF!*#REF!*$T27-(#REF!*(#REF!+#REF!)+4*#REF!*#REF!))*$T27)-10*LOG10((1+#REF!+#REF!)^2+(1*#REF!*$T27-(#REF!*(1+#REF!)+4*1*#REF!))*$T27)</f>
        <v>#REF!</v>
      </c>
      <c r="AG27" s="14" t="e">
        <f>10*LOG10((#REF!+#REF!+#REF!)^2+(#REF!*#REF!*$T27-(#REF!*(#REF!+#REF!)+4*#REF!*#REF!))*$T27)-10*LOG10((1+#REF!+#REF!)^2+(1*#REF!*$T27-(#REF!*(1+#REF!)+4*1*#REF!))*$T27)</f>
        <v>#REF!</v>
      </c>
      <c r="AH27" s="14" t="e">
        <f>10*LOG10((#REF!+#REF!+#REF!)^2+(#REF!*#REF!*$T27-(#REF!*(#REF!+#REF!)+4*#REF!*#REF!))*$T27)-10*LOG10((1+#REF!+#REF!)^2+(1*#REF!*$T27-(#REF!*(1+#REF!)+4*1*#REF!))*$T27)</f>
        <v>#REF!</v>
      </c>
      <c r="AI27" s="14" t="e">
        <f>10*LOG10((#REF!+#REF!+#REF!)^2+(#REF!*#REF!*$T27-(#REF!*(#REF!+#REF!)+4*#REF!*#REF!))*$T27)-10*LOG10((1+#REF!+#REF!)^2+(1*#REF!*$T27-(#REF!*(1+#REF!)+4*1*#REF!))*$T27)</f>
        <v>#REF!</v>
      </c>
      <c r="AJ27" s="15" t="e">
        <f t="shared" si="4"/>
        <v>#REF!</v>
      </c>
      <c r="AL27" s="1" t="e">
        <f t="shared" si="0"/>
        <v>#REF!</v>
      </c>
    </row>
    <row r="28" spans="18:38" ht="12.75">
      <c r="R28" s="13">
        <v>542</v>
      </c>
      <c r="S28" s="13">
        <f t="shared" si="1"/>
        <v>0.07722191465966748</v>
      </c>
      <c r="T28" s="13">
        <f t="shared" si="2"/>
        <v>0.005960261355867713</v>
      </c>
      <c r="U28" s="14">
        <f t="shared" si="3"/>
        <v>1.2865659173336859</v>
      </c>
      <c r="V28" s="14"/>
      <c r="W28" s="14"/>
      <c r="X28" s="14"/>
      <c r="Y28" s="14"/>
      <c r="Z28" s="15"/>
      <c r="AE28" s="14" t="e">
        <f>10*LOG10((#REF!+#REF!+#REF!)^2+(#REF!*#REF!*$T28-(#REF!*(#REF!+#REF!)+4*#REF!*#REF!))*$T28)-10*LOG10((1+#REF!+#REF!)^2+(1*#REF!*$T28-(#REF!*(1+#REF!)+4*1*#REF!))*$T28)</f>
        <v>#REF!</v>
      </c>
      <c r="AF28" s="14" t="e">
        <f>10*LOG10((#REF!+#REF!+#REF!)^2+(#REF!*#REF!*$T28-(#REF!*(#REF!+#REF!)+4*#REF!*#REF!))*$T28)-10*LOG10((1+#REF!+#REF!)^2+(1*#REF!*$T28-(#REF!*(1+#REF!)+4*1*#REF!))*$T28)</f>
        <v>#REF!</v>
      </c>
      <c r="AG28" s="14" t="e">
        <f>10*LOG10((#REF!+#REF!+#REF!)^2+(#REF!*#REF!*$T28-(#REF!*(#REF!+#REF!)+4*#REF!*#REF!))*$T28)-10*LOG10((1+#REF!+#REF!)^2+(1*#REF!*$T28-(#REF!*(1+#REF!)+4*1*#REF!))*$T28)</f>
        <v>#REF!</v>
      </c>
      <c r="AH28" s="14" t="e">
        <f>10*LOG10((#REF!+#REF!+#REF!)^2+(#REF!*#REF!*$T28-(#REF!*(#REF!+#REF!)+4*#REF!*#REF!))*$T28)-10*LOG10((1+#REF!+#REF!)^2+(1*#REF!*$T28-(#REF!*(1+#REF!)+4*1*#REF!))*$T28)</f>
        <v>#REF!</v>
      </c>
      <c r="AI28" s="14" t="e">
        <f>10*LOG10((#REF!+#REF!+#REF!)^2+(#REF!*#REF!*$T28-(#REF!*(#REF!+#REF!)+4*#REF!*#REF!))*$T28)-10*LOG10((1+#REF!+#REF!)^2+(1*#REF!*$T28-(#REF!*(1+#REF!)+4*1*#REF!))*$T28)</f>
        <v>#REF!</v>
      </c>
      <c r="AJ28" s="15" t="e">
        <f t="shared" si="4"/>
        <v>#REF!</v>
      </c>
      <c r="AL28" s="1" t="e">
        <f t="shared" si="0"/>
        <v>#REF!</v>
      </c>
    </row>
    <row r="29" spans="18:38" ht="12">
      <c r="R29" s="13">
        <v>645</v>
      </c>
      <c r="S29" s="13">
        <f t="shared" si="1"/>
        <v>0.09189692796215042</v>
      </c>
      <c r="T29" s="13">
        <f t="shared" si="2"/>
        <v>0.008439103809050483</v>
      </c>
      <c r="U29" s="14">
        <f t="shared" si="3"/>
        <v>1.8180118734528463</v>
      </c>
      <c r="V29" s="14"/>
      <c r="W29" s="14"/>
      <c r="X29" s="14"/>
      <c r="Y29" s="14"/>
      <c r="Z29" s="15"/>
      <c r="AE29" s="14" t="e">
        <f>10*LOG10((#REF!+#REF!+#REF!)^2+(#REF!*#REF!*$T29-(#REF!*(#REF!+#REF!)+4*#REF!*#REF!))*$T29)-10*LOG10((1+#REF!+#REF!)^2+(1*#REF!*$T29-(#REF!*(1+#REF!)+4*1*#REF!))*$T29)</f>
        <v>#REF!</v>
      </c>
      <c r="AF29" s="14" t="e">
        <f>10*LOG10((#REF!+#REF!+#REF!)^2+(#REF!*#REF!*$T29-(#REF!*(#REF!+#REF!)+4*#REF!*#REF!))*$T29)-10*LOG10((1+#REF!+#REF!)^2+(1*#REF!*$T29-(#REF!*(1+#REF!)+4*1*#REF!))*$T29)</f>
        <v>#REF!</v>
      </c>
      <c r="AG29" s="14" t="e">
        <f>10*LOG10((#REF!+#REF!+#REF!)^2+(#REF!*#REF!*$T29-(#REF!*(#REF!+#REF!)+4*#REF!*#REF!))*$T29)-10*LOG10((1+#REF!+#REF!)^2+(1*#REF!*$T29-(#REF!*(1+#REF!)+4*1*#REF!))*$T29)</f>
        <v>#REF!</v>
      </c>
      <c r="AH29" s="14" t="e">
        <f>10*LOG10((#REF!+#REF!+#REF!)^2+(#REF!*#REF!*$T29-(#REF!*(#REF!+#REF!)+4*#REF!*#REF!))*$T29)-10*LOG10((1+#REF!+#REF!)^2+(1*#REF!*$T29-(#REF!*(1+#REF!)+4*1*#REF!))*$T29)</f>
        <v>#REF!</v>
      </c>
      <c r="AI29" s="14" t="e">
        <f>10*LOG10((#REF!+#REF!+#REF!)^2+(#REF!*#REF!*$T29-(#REF!*(#REF!+#REF!)+4*#REF!*#REF!))*$T29)-10*LOG10((1+#REF!+#REF!)^2+(1*#REF!*$T29-(#REF!*(1+#REF!)+4*1*#REF!))*$T29)</f>
        <v>#REF!</v>
      </c>
      <c r="AJ29" s="15" t="e">
        <f t="shared" si="4"/>
        <v>#REF!</v>
      </c>
      <c r="AL29" s="1" t="e">
        <f t="shared" si="0"/>
        <v>#REF!</v>
      </c>
    </row>
    <row r="30" spans="18:38" ht="12">
      <c r="R30" s="13">
        <v>767</v>
      </c>
      <c r="S30" s="13">
        <f t="shared" si="1"/>
        <v>0.10927898255344089</v>
      </c>
      <c r="T30" s="13">
        <f t="shared" si="2"/>
        <v>0.011930016684123745</v>
      </c>
      <c r="U30" s="14">
        <f t="shared" si="3"/>
        <v>2.566275057202102</v>
      </c>
      <c r="V30" s="14"/>
      <c r="W30" s="14"/>
      <c r="X30" s="14"/>
      <c r="Y30" s="14"/>
      <c r="Z30" s="15"/>
      <c r="AE30" s="14" t="e">
        <f>10*LOG10((#REF!+#REF!+#REF!)^2+(#REF!*#REF!*$T30-(#REF!*(#REF!+#REF!)+4*#REF!*#REF!))*$T30)-10*LOG10((1+#REF!+#REF!)^2+(1*#REF!*$T30-(#REF!*(1+#REF!)+4*1*#REF!))*$T30)</f>
        <v>#REF!</v>
      </c>
      <c r="AF30" s="14" t="e">
        <f>10*LOG10((#REF!+#REF!+#REF!)^2+(#REF!*#REF!*$T30-(#REF!*(#REF!+#REF!)+4*#REF!*#REF!))*$T30)-10*LOG10((1+#REF!+#REF!)^2+(1*#REF!*$T30-(#REF!*(1+#REF!)+4*1*#REF!))*$T30)</f>
        <v>#REF!</v>
      </c>
      <c r="AG30" s="14" t="e">
        <f>10*LOG10((#REF!+#REF!+#REF!)^2+(#REF!*#REF!*$T30-(#REF!*(#REF!+#REF!)+4*#REF!*#REF!))*$T30)-10*LOG10((1+#REF!+#REF!)^2+(1*#REF!*$T30-(#REF!*(1+#REF!)+4*1*#REF!))*$T30)</f>
        <v>#REF!</v>
      </c>
      <c r="AH30" s="14" t="e">
        <f>10*LOG10((#REF!+#REF!+#REF!)^2+(#REF!*#REF!*$T30-(#REF!*(#REF!+#REF!)+4*#REF!*#REF!))*$T30)-10*LOG10((1+#REF!+#REF!)^2+(1*#REF!*$T30-(#REF!*(1+#REF!)+4*1*#REF!))*$T30)</f>
        <v>#REF!</v>
      </c>
      <c r="AI30" s="14" t="e">
        <f>10*LOG10((#REF!+#REF!+#REF!)^2+(#REF!*#REF!*$T30-(#REF!*(#REF!+#REF!)+4*#REF!*#REF!))*$T30)-10*LOG10((1+#REF!+#REF!)^2+(1*#REF!*$T30-(#REF!*(1+#REF!)+4*1*#REF!))*$T30)</f>
        <v>#REF!</v>
      </c>
      <c r="AJ30" s="15" t="e">
        <f t="shared" si="4"/>
        <v>#REF!</v>
      </c>
      <c r="AL30" s="1" t="e">
        <f t="shared" si="0"/>
        <v>#REF!</v>
      </c>
    </row>
    <row r="31" spans="18:38" ht="12">
      <c r="R31" s="13">
        <v>913</v>
      </c>
      <c r="S31" s="13">
        <f t="shared" si="1"/>
        <v>0.13008045772006718</v>
      </c>
      <c r="T31" s="13">
        <f t="shared" si="2"/>
        <v>0.016897079124338604</v>
      </c>
      <c r="U31" s="14">
        <f t="shared" si="3"/>
        <v>3.636469026855611</v>
      </c>
      <c r="V31" s="14"/>
      <c r="W31" s="14"/>
      <c r="X31" s="14"/>
      <c r="Y31" s="14"/>
      <c r="Z31" s="15"/>
      <c r="AE31" s="14" t="e">
        <f>10*LOG10((#REF!+#REF!+#REF!)^2+(#REF!*#REF!*$T31-(#REF!*(#REF!+#REF!)+4*#REF!*#REF!))*$T31)-10*LOG10((1+#REF!+#REF!)^2+(1*#REF!*$T31-(#REF!*(1+#REF!)+4*1*#REF!))*$T31)</f>
        <v>#REF!</v>
      </c>
      <c r="AF31" s="14" t="e">
        <f>10*LOG10((#REF!+#REF!+#REF!)^2+(#REF!*#REF!*$T31-(#REF!*(#REF!+#REF!)+4*#REF!*#REF!))*$T31)-10*LOG10((1+#REF!+#REF!)^2+(1*#REF!*$T31-(#REF!*(1+#REF!)+4*1*#REF!))*$T31)</f>
        <v>#REF!</v>
      </c>
      <c r="AG31" s="14" t="e">
        <f>10*LOG10((#REF!+#REF!+#REF!)^2+(#REF!*#REF!*$T31-(#REF!*(#REF!+#REF!)+4*#REF!*#REF!))*$T31)-10*LOG10((1+#REF!+#REF!)^2+(1*#REF!*$T31-(#REF!*(1+#REF!)+4*1*#REF!))*$T31)</f>
        <v>#REF!</v>
      </c>
      <c r="AH31" s="14" t="e">
        <f>10*LOG10((#REF!+#REF!+#REF!)^2+(#REF!*#REF!*$T31-(#REF!*(#REF!+#REF!)+4*#REF!*#REF!))*$T31)-10*LOG10((1+#REF!+#REF!)^2+(1*#REF!*$T31-(#REF!*(1+#REF!)+4*1*#REF!))*$T31)</f>
        <v>#REF!</v>
      </c>
      <c r="AI31" s="14" t="e">
        <f>10*LOG10((#REF!+#REF!+#REF!)^2+(#REF!*#REF!*$T31-(#REF!*(#REF!+#REF!)+4*#REF!*#REF!))*$T31)-10*LOG10((1+#REF!+#REF!)^2+(1*#REF!*$T31-(#REF!*(1+#REF!)+4*1*#REF!))*$T31)</f>
        <v>#REF!</v>
      </c>
      <c r="AJ31" s="15" t="e">
        <f t="shared" si="4"/>
        <v>#REF!</v>
      </c>
      <c r="AL31" s="1" t="e">
        <f t="shared" si="0"/>
        <v>#REF!</v>
      </c>
    </row>
    <row r="32" spans="18:38" ht="12">
      <c r="R32" s="13">
        <v>1086</v>
      </c>
      <c r="S32" s="13">
        <f t="shared" si="1"/>
        <v>0.15472878103394627</v>
      </c>
      <c r="T32" s="13">
        <f t="shared" si="2"/>
        <v>0.023893269508587504</v>
      </c>
      <c r="U32" s="14">
        <f t="shared" si="3"/>
        <v>5.1707880470394265</v>
      </c>
      <c r="V32" s="14"/>
      <c r="W32" s="14"/>
      <c r="X32" s="14"/>
      <c r="Y32" s="14"/>
      <c r="Z32" s="15"/>
      <c r="AE32" s="14" t="e">
        <f>10*LOG10((#REF!+#REF!+#REF!)^2+(#REF!*#REF!*$T32-(#REF!*(#REF!+#REF!)+4*#REF!*#REF!))*$T32)-10*LOG10((1+#REF!+#REF!)^2+(1*#REF!*$T32-(#REF!*(1+#REF!)+4*1*#REF!))*$T32)</f>
        <v>#REF!</v>
      </c>
      <c r="AF32" s="14" t="e">
        <f>10*LOG10((#REF!+#REF!+#REF!)^2+(#REF!*#REF!*$T32-(#REF!*(#REF!+#REF!)+4*#REF!*#REF!))*$T32)-10*LOG10((1+#REF!+#REF!)^2+(1*#REF!*$T32-(#REF!*(1+#REF!)+4*1*#REF!))*$T32)</f>
        <v>#REF!</v>
      </c>
      <c r="AG32" s="14" t="e">
        <f>10*LOG10((#REF!+#REF!+#REF!)^2+(#REF!*#REF!*$T32-(#REF!*(#REF!+#REF!)+4*#REF!*#REF!))*$T32)-10*LOG10((1+#REF!+#REF!)^2+(1*#REF!*$T32-(#REF!*(1+#REF!)+4*1*#REF!))*$T32)</f>
        <v>#REF!</v>
      </c>
      <c r="AH32" s="14" t="e">
        <f>10*LOG10((#REF!+#REF!+#REF!)^2+(#REF!*#REF!*$T32-(#REF!*(#REF!+#REF!)+4*#REF!*#REF!))*$T32)-10*LOG10((1+#REF!+#REF!)^2+(1*#REF!*$T32-(#REF!*(1+#REF!)+4*1*#REF!))*$T32)</f>
        <v>#REF!</v>
      </c>
      <c r="AI32" s="14" t="e">
        <f>10*LOG10((#REF!+#REF!+#REF!)^2+(#REF!*#REF!*$T32-(#REF!*(#REF!+#REF!)+4*#REF!*#REF!))*$T32)-10*LOG10((1+#REF!+#REF!)^2+(1*#REF!*$T32-(#REF!*(1+#REF!)+4*1*#REF!))*$T32)</f>
        <v>#REF!</v>
      </c>
      <c r="AJ32" s="15" t="e">
        <f t="shared" si="4"/>
        <v>#REF!</v>
      </c>
      <c r="AL32" s="1" t="e">
        <f t="shared" si="0"/>
        <v>#REF!</v>
      </c>
    </row>
    <row r="33" spans="18:38" ht="12">
      <c r="R33" s="13">
        <v>1292</v>
      </c>
      <c r="S33" s="13">
        <f t="shared" si="1"/>
        <v>0.18407880763891213</v>
      </c>
      <c r="T33" s="13">
        <f t="shared" si="2"/>
        <v>0.03378943261948784</v>
      </c>
      <c r="U33" s="14">
        <f t="shared" si="3"/>
        <v>7.440247129605442</v>
      </c>
      <c r="V33" s="14"/>
      <c r="W33" s="14"/>
      <c r="X33" s="14"/>
      <c r="Y33" s="14"/>
      <c r="Z33" s="15"/>
      <c r="AE33" s="14" t="e">
        <f>10*LOG10((#REF!+#REF!+#REF!)^2+(#REF!*#REF!*$T33-(#REF!*(#REF!+#REF!)+4*#REF!*#REF!))*$T33)-10*LOG10((1+#REF!+#REF!)^2+(1*#REF!*$T33-(#REF!*(1+#REF!)+4*1*#REF!))*$T33)</f>
        <v>#REF!</v>
      </c>
      <c r="AF33" s="14" t="e">
        <f>10*LOG10((#REF!+#REF!+#REF!)^2+(#REF!*#REF!*$T33-(#REF!*(#REF!+#REF!)+4*#REF!*#REF!))*$T33)-10*LOG10((1+#REF!+#REF!)^2+(1*#REF!*$T33-(#REF!*(1+#REF!)+4*1*#REF!))*$T33)</f>
        <v>#REF!</v>
      </c>
      <c r="AG33" s="14" t="e">
        <f>10*LOG10((#REF!+#REF!+#REF!)^2+(#REF!*#REF!*$T33-(#REF!*(#REF!+#REF!)+4*#REF!*#REF!))*$T33)-10*LOG10((1+#REF!+#REF!)^2+(1*#REF!*$T33-(#REF!*(1+#REF!)+4*1*#REF!))*$T33)</f>
        <v>#REF!</v>
      </c>
      <c r="AH33" s="14" t="e">
        <f>10*LOG10((#REF!+#REF!+#REF!)^2+(#REF!*#REF!*$T33-(#REF!*(#REF!+#REF!)+4*#REF!*#REF!))*$T33)-10*LOG10((1+#REF!+#REF!)^2+(1*#REF!*$T33-(#REF!*(1+#REF!)+4*1*#REF!))*$T33)</f>
        <v>#REF!</v>
      </c>
      <c r="AI33" s="14" t="e">
        <f>10*LOG10((#REF!+#REF!+#REF!)^2+(#REF!*#REF!*$T33-(#REF!*(#REF!+#REF!)+4*#REF!*#REF!))*$T33)-10*LOG10((1+#REF!+#REF!)^2+(1*#REF!*$T33-(#REF!*(1+#REF!)+4*1*#REF!))*$T33)</f>
        <v>#REF!</v>
      </c>
      <c r="AJ33" s="15" t="e">
        <f t="shared" si="4"/>
        <v>#REF!</v>
      </c>
      <c r="AL33" s="1" t="e">
        <f t="shared" si="0"/>
        <v>#REF!</v>
      </c>
    </row>
    <row r="34" spans="18:38" ht="12">
      <c r="R34" s="13">
        <v>1537</v>
      </c>
      <c r="S34" s="13">
        <f t="shared" si="1"/>
        <v>0.21898539267879874</v>
      </c>
      <c r="T34" s="13">
        <f t="shared" si="2"/>
        <v>0.047763271284294216</v>
      </c>
      <c r="U34" s="14">
        <f t="shared" si="3"/>
        <v>10.977617038784707</v>
      </c>
      <c r="V34" s="14"/>
      <c r="W34" s="14"/>
      <c r="X34" s="14"/>
      <c r="Y34" s="14"/>
      <c r="Z34" s="15"/>
      <c r="AE34" s="14" t="e">
        <f>10*LOG10((#REF!+#REF!+#REF!)^2+(#REF!*#REF!*$T34-(#REF!*(#REF!+#REF!)+4*#REF!*#REF!))*$T34)-10*LOG10((1+#REF!+#REF!)^2+(1*#REF!*$T34-(#REF!*(1+#REF!)+4*1*#REF!))*$T34)</f>
        <v>#REF!</v>
      </c>
      <c r="AF34" s="14" t="e">
        <f>10*LOG10((#REF!+#REF!+#REF!)^2+(#REF!*#REF!*$T34-(#REF!*(#REF!+#REF!)+4*#REF!*#REF!))*$T34)-10*LOG10((1+#REF!+#REF!)^2+(1*#REF!*$T34-(#REF!*(1+#REF!)+4*1*#REF!))*$T34)</f>
        <v>#REF!</v>
      </c>
      <c r="AG34" s="14" t="e">
        <f>10*LOG10((#REF!+#REF!+#REF!)^2+(#REF!*#REF!*$T34-(#REF!*(#REF!+#REF!)+4*#REF!*#REF!))*$T34)-10*LOG10((1+#REF!+#REF!)^2+(1*#REF!*$T34-(#REF!*(1+#REF!)+4*1*#REF!))*$T34)</f>
        <v>#REF!</v>
      </c>
      <c r="AH34" s="14" t="e">
        <f>10*LOG10((#REF!+#REF!+#REF!)^2+(#REF!*#REF!*$T34-(#REF!*(#REF!+#REF!)+4*#REF!*#REF!))*$T34)-10*LOG10((1+#REF!+#REF!)^2+(1*#REF!*$T34-(#REF!*(1+#REF!)+4*1*#REF!))*$T34)</f>
        <v>#REF!</v>
      </c>
      <c r="AI34" s="14" t="e">
        <f>10*LOG10((#REF!+#REF!+#REF!)^2+(#REF!*#REF!*$T34-(#REF!*(#REF!+#REF!)+4*#REF!*#REF!))*$T34)-10*LOG10((1+#REF!+#REF!)^2+(1*#REF!*$T34-(#REF!*(1+#REF!)+4*1*#REF!))*$T34)</f>
        <v>#REF!</v>
      </c>
      <c r="AJ34" s="15" t="e">
        <f t="shared" si="4"/>
        <v>#REF!</v>
      </c>
      <c r="AL34" s="1" t="e">
        <f t="shared" si="0"/>
        <v>#REF!</v>
      </c>
    </row>
    <row r="35" spans="18:38" ht="12">
      <c r="R35" s="13">
        <v>1828</v>
      </c>
      <c r="S35" s="13">
        <f t="shared" si="1"/>
        <v>0.26044586715474566</v>
      </c>
      <c r="T35" s="13">
        <f t="shared" si="2"/>
        <v>0.06744948338773063</v>
      </c>
      <c r="U35" s="14">
        <f t="shared" si="3"/>
        <v>16.746964265502335</v>
      </c>
      <c r="V35" s="14"/>
      <c r="W35" s="14"/>
      <c r="X35" s="14"/>
      <c r="Y35" s="14"/>
      <c r="Z35" s="15"/>
      <c r="AE35" s="14" t="e">
        <f>10*LOG10((#REF!+#REF!+#REF!)^2+(#REF!*#REF!*$T35-(#REF!*(#REF!+#REF!)+4*#REF!*#REF!))*$T35)-10*LOG10((1+#REF!+#REF!)^2+(1*#REF!*$T35-(#REF!*(1+#REF!)+4*1*#REF!))*$T35)</f>
        <v>#REF!</v>
      </c>
      <c r="AF35" s="14" t="e">
        <f>10*LOG10((#REF!+#REF!+#REF!)^2+(#REF!*#REF!*$T35-(#REF!*(#REF!+#REF!)+4*#REF!*#REF!))*$T35)-10*LOG10((1+#REF!+#REF!)^2+(1*#REF!*$T35-(#REF!*(1+#REF!)+4*1*#REF!))*$T35)</f>
        <v>#REF!</v>
      </c>
      <c r="AG35" s="14" t="e">
        <f>10*LOG10((#REF!+#REF!+#REF!)^2+(#REF!*#REF!*$T35-(#REF!*(#REF!+#REF!)+4*#REF!*#REF!))*$T35)-10*LOG10((1+#REF!+#REF!)^2+(1*#REF!*$T35-(#REF!*(1+#REF!)+4*1*#REF!))*$T35)</f>
        <v>#REF!</v>
      </c>
      <c r="AH35" s="14" t="e">
        <f>10*LOG10((#REF!+#REF!+#REF!)^2+(#REF!*#REF!*$T35-(#REF!*(#REF!+#REF!)+4*#REF!*#REF!))*$T35)-10*LOG10((1+#REF!+#REF!)^2+(1*#REF!*$T35-(#REF!*(1+#REF!)+4*1*#REF!))*$T35)</f>
        <v>#REF!</v>
      </c>
      <c r="AI35" s="14" t="e">
        <f>10*LOG10((#REF!+#REF!+#REF!)^2+(#REF!*#REF!*$T35-(#REF!*(#REF!+#REF!)+4*#REF!*#REF!))*$T35)-10*LOG10((1+#REF!+#REF!)^2+(1*#REF!*$T35-(#REF!*(1+#REF!)+4*1*#REF!))*$T35)</f>
        <v>#REF!</v>
      </c>
      <c r="AJ35" s="15" t="e">
        <f t="shared" si="4"/>
        <v>#REF!</v>
      </c>
      <c r="AL35" s="1" t="e">
        <f t="shared" si="0"/>
        <v>#REF!</v>
      </c>
    </row>
    <row r="36" spans="18:38" ht="12">
      <c r="R36" s="13">
        <v>2175</v>
      </c>
      <c r="S36" s="13">
        <f t="shared" si="1"/>
        <v>0.30988498963980954</v>
      </c>
      <c r="T36" s="13">
        <f t="shared" si="2"/>
        <v>0.09526270301829555</v>
      </c>
      <c r="U36" s="14">
        <f t="shared" si="3"/>
        <v>17.660903893810843</v>
      </c>
      <c r="V36" s="14"/>
      <c r="W36" s="14"/>
      <c r="X36" s="14"/>
      <c r="Y36" s="14"/>
      <c r="Z36" s="15"/>
      <c r="AE36" s="14" t="e">
        <f>10*LOG10((#REF!+#REF!+#REF!)^2+(#REF!*#REF!*$T36-(#REF!*(#REF!+#REF!)+4*#REF!*#REF!))*$T36)-10*LOG10((1+#REF!+#REF!)^2+(1*#REF!*$T36-(#REF!*(1+#REF!)+4*1*#REF!))*$T36)</f>
        <v>#REF!</v>
      </c>
      <c r="AF36" s="14" t="e">
        <f>10*LOG10((#REF!+#REF!+#REF!)^2+(#REF!*#REF!*$T36-(#REF!*(#REF!+#REF!)+4*#REF!*#REF!))*$T36)-10*LOG10((1+#REF!+#REF!)^2+(1*#REF!*$T36-(#REF!*(1+#REF!)+4*1*#REF!))*$T36)</f>
        <v>#REF!</v>
      </c>
      <c r="AG36" s="14" t="e">
        <f>10*LOG10((#REF!+#REF!+#REF!)^2+(#REF!*#REF!*$T36-(#REF!*(#REF!+#REF!)+4*#REF!*#REF!))*$T36)-10*LOG10((1+#REF!+#REF!)^2+(1*#REF!*$T36-(#REF!*(1+#REF!)+4*1*#REF!))*$T36)</f>
        <v>#REF!</v>
      </c>
      <c r="AH36" s="14" t="e">
        <f>10*LOG10((#REF!+#REF!+#REF!)^2+(#REF!*#REF!*$T36-(#REF!*(#REF!+#REF!)+4*#REF!*#REF!))*$T36)-10*LOG10((1+#REF!+#REF!)^2+(1*#REF!*$T36-(#REF!*(1+#REF!)+4*1*#REF!))*$T36)</f>
        <v>#REF!</v>
      </c>
      <c r="AI36" s="14" t="e">
        <f>10*LOG10((#REF!+#REF!+#REF!)^2+(#REF!*#REF!*$T36-(#REF!*(#REF!+#REF!)+4*#REF!*#REF!))*$T36)-10*LOG10((1+#REF!+#REF!)^2+(1*#REF!*$T36-(#REF!*(1+#REF!)+4*1*#REF!))*$T36)</f>
        <v>#REF!</v>
      </c>
      <c r="AJ36" s="15" t="e">
        <f t="shared" si="4"/>
        <v>#REF!</v>
      </c>
      <c r="AL36" s="1" t="e">
        <f t="shared" si="0"/>
        <v>#REF!</v>
      </c>
    </row>
    <row r="37" spans="18:38" ht="12">
      <c r="R37" s="13">
        <v>2588</v>
      </c>
      <c r="S37" s="13">
        <f t="shared" si="1"/>
        <v>0.36872751870704695</v>
      </c>
      <c r="T37" s="13">
        <f t="shared" si="2"/>
        <v>0.13442652092374352</v>
      </c>
      <c r="U37" s="14">
        <f t="shared" si="3"/>
        <v>11.494761588510238</v>
      </c>
      <c r="V37" s="14"/>
      <c r="W37" s="14"/>
      <c r="X37" s="14"/>
      <c r="Y37" s="14"/>
      <c r="Z37" s="15"/>
      <c r="AE37" s="14" t="e">
        <f>10*LOG10((#REF!+#REF!+#REF!)^2+(#REF!*#REF!*$T37-(#REF!*(#REF!+#REF!)+4*#REF!*#REF!))*$T37)-10*LOG10((1+#REF!+#REF!)^2+(1*#REF!*$T37-(#REF!*(1+#REF!)+4*1*#REF!))*$T37)</f>
        <v>#REF!</v>
      </c>
      <c r="AF37" s="14" t="e">
        <f>10*LOG10((#REF!+#REF!+#REF!)^2+(#REF!*#REF!*$T37-(#REF!*(#REF!+#REF!)+4*#REF!*#REF!))*$T37)-10*LOG10((1+#REF!+#REF!)^2+(1*#REF!*$T37-(#REF!*(1+#REF!)+4*1*#REF!))*$T37)</f>
        <v>#REF!</v>
      </c>
      <c r="AG37" s="14" t="e">
        <f>10*LOG10((#REF!+#REF!+#REF!)^2+(#REF!*#REF!*$T37-(#REF!*(#REF!+#REF!)+4*#REF!*#REF!))*$T37)-10*LOG10((1+#REF!+#REF!)^2+(1*#REF!*$T37-(#REF!*(1+#REF!)+4*1*#REF!))*$T37)</f>
        <v>#REF!</v>
      </c>
      <c r="AH37" s="14" t="e">
        <f>10*LOG10((#REF!+#REF!+#REF!)^2+(#REF!*#REF!*$T37-(#REF!*(#REF!+#REF!)+4*#REF!*#REF!))*$T37)-10*LOG10((1+#REF!+#REF!)^2+(1*#REF!*$T37-(#REF!*(1+#REF!)+4*1*#REF!))*$T37)</f>
        <v>#REF!</v>
      </c>
      <c r="AI37" s="14" t="e">
        <f>10*LOG10((#REF!+#REF!+#REF!)^2+(#REF!*#REF!*$T37-(#REF!*(#REF!+#REF!)+4*#REF!*#REF!))*$T37)-10*LOG10((1+#REF!+#REF!)^2+(1*#REF!*$T37-(#REF!*(1+#REF!)+4*1*#REF!))*$T37)</f>
        <v>#REF!</v>
      </c>
      <c r="AJ37" s="15" t="e">
        <f t="shared" si="4"/>
        <v>#REF!</v>
      </c>
      <c r="AL37" s="1" t="e">
        <f t="shared" si="0"/>
        <v>#REF!</v>
      </c>
    </row>
    <row r="38" spans="18:38" ht="12">
      <c r="R38" s="13">
        <v>3080</v>
      </c>
      <c r="S38" s="13">
        <f t="shared" si="1"/>
        <v>0.43882564050143147</v>
      </c>
      <c r="T38" s="13">
        <f t="shared" si="2"/>
        <v>0.1894975094379705</v>
      </c>
      <c r="U38" s="14">
        <f t="shared" si="3"/>
        <v>7.598553365941557</v>
      </c>
      <c r="V38" s="14"/>
      <c r="W38" s="14"/>
      <c r="X38" s="14"/>
      <c r="Y38" s="14"/>
      <c r="Z38" s="15"/>
      <c r="AE38" s="14" t="e">
        <f>10*LOG10((#REF!+#REF!+#REF!)^2+(#REF!*#REF!*$T38-(#REF!*(#REF!+#REF!)+4*#REF!*#REF!))*$T38)-10*LOG10((1+#REF!+#REF!)^2+(1*#REF!*$T38-(#REF!*(1+#REF!)+4*1*#REF!))*$T38)</f>
        <v>#REF!</v>
      </c>
      <c r="AF38" s="14" t="e">
        <f>10*LOG10((#REF!+#REF!+#REF!)^2+(#REF!*#REF!*$T38-(#REF!*(#REF!+#REF!)+4*#REF!*#REF!))*$T38)-10*LOG10((1+#REF!+#REF!)^2+(1*#REF!*$T38-(#REF!*(1+#REF!)+4*1*#REF!))*$T38)</f>
        <v>#REF!</v>
      </c>
      <c r="AG38" s="14" t="e">
        <f>10*LOG10((#REF!+#REF!+#REF!)^2+(#REF!*#REF!*$T38-(#REF!*(#REF!+#REF!)+4*#REF!*#REF!))*$T38)-10*LOG10((1+#REF!+#REF!)^2+(1*#REF!*$T38-(#REF!*(1+#REF!)+4*1*#REF!))*$T38)</f>
        <v>#REF!</v>
      </c>
      <c r="AH38" s="14" t="e">
        <f>10*LOG10((#REF!+#REF!+#REF!)^2+(#REF!*#REF!*$T38-(#REF!*(#REF!+#REF!)+4*#REF!*#REF!))*$T38)-10*LOG10((1+#REF!+#REF!)^2+(1*#REF!*$T38-(#REF!*(1+#REF!)+4*1*#REF!))*$T38)</f>
        <v>#REF!</v>
      </c>
      <c r="AI38" s="14" t="e">
        <f>10*LOG10((#REF!+#REF!+#REF!)^2+(#REF!*#REF!*$T38-(#REF!*(#REF!+#REF!)+4*#REF!*#REF!))*$T38)-10*LOG10((1+#REF!+#REF!)^2+(1*#REF!*$T38-(#REF!*(1+#REF!)+4*1*#REF!))*$T38)</f>
        <v>#REF!</v>
      </c>
      <c r="AJ38" s="15" t="e">
        <f t="shared" si="4"/>
        <v>#REF!</v>
      </c>
      <c r="AL38" s="1" t="e">
        <f t="shared" si="0"/>
        <v>#REF!</v>
      </c>
    </row>
    <row r="39" spans="18:38" ht="12">
      <c r="R39" s="13">
        <v>3663</v>
      </c>
      <c r="S39" s="13">
        <f t="shared" si="1"/>
        <v>0.521889065310631</v>
      </c>
      <c r="T39" s="13">
        <f t="shared" si="2"/>
        <v>0.26624201446266693</v>
      </c>
      <c r="U39" s="14">
        <f t="shared" si="3"/>
        <v>5.110371162282256</v>
      </c>
      <c r="V39" s="14"/>
      <c r="W39" s="14"/>
      <c r="X39" s="14"/>
      <c r="Y39" s="14"/>
      <c r="Z39" s="15"/>
      <c r="AE39" s="14" t="e">
        <f>10*LOG10((#REF!+#REF!+#REF!)^2+(#REF!*#REF!*$T39-(#REF!*(#REF!+#REF!)+4*#REF!*#REF!))*$T39)-10*LOG10((1+#REF!+#REF!)^2+(1*#REF!*$T39-(#REF!*(1+#REF!)+4*1*#REF!))*$T39)</f>
        <v>#REF!</v>
      </c>
      <c r="AF39" s="14" t="e">
        <f>10*LOG10((#REF!+#REF!+#REF!)^2+(#REF!*#REF!*$T39-(#REF!*(#REF!+#REF!)+4*#REF!*#REF!))*$T39)-10*LOG10((1+#REF!+#REF!)^2+(1*#REF!*$T39-(#REF!*(1+#REF!)+4*1*#REF!))*$T39)</f>
        <v>#REF!</v>
      </c>
      <c r="AG39" s="14" t="e">
        <f>10*LOG10((#REF!+#REF!+#REF!)^2+(#REF!*#REF!*$T39-(#REF!*(#REF!+#REF!)+4*#REF!*#REF!))*$T39)-10*LOG10((1+#REF!+#REF!)^2+(1*#REF!*$T39-(#REF!*(1+#REF!)+4*1*#REF!))*$T39)</f>
        <v>#REF!</v>
      </c>
      <c r="AH39" s="14" t="e">
        <f>10*LOG10((#REF!+#REF!+#REF!)^2+(#REF!*#REF!*$T39-(#REF!*(#REF!+#REF!)+4*#REF!*#REF!))*$T39)-10*LOG10((1+#REF!+#REF!)^2+(1*#REF!*$T39-(#REF!*(1+#REF!)+4*1*#REF!))*$T39)</f>
        <v>#REF!</v>
      </c>
      <c r="AI39" s="14" t="e">
        <f>10*LOG10((#REF!+#REF!+#REF!)^2+(#REF!*#REF!*$T39-(#REF!*(#REF!+#REF!)+4*#REF!*#REF!))*$T39)-10*LOG10((1+#REF!+#REF!)^2+(1*#REF!*$T39-(#REF!*(1+#REF!)+4*1*#REF!))*$T39)</f>
        <v>#REF!</v>
      </c>
      <c r="AJ39" s="15" t="e">
        <f t="shared" si="4"/>
        <v>#REF!</v>
      </c>
      <c r="AL39" s="1" t="e">
        <f t="shared" si="0"/>
        <v>#REF!</v>
      </c>
    </row>
    <row r="40" spans="18:38" ht="12">
      <c r="R40" s="13">
        <v>4357</v>
      </c>
      <c r="S40" s="13">
        <f t="shared" si="1"/>
        <v>0.6207673102807587</v>
      </c>
      <c r="T40" s="13">
        <f t="shared" si="2"/>
        <v>0.3731352342749406</v>
      </c>
      <c r="U40" s="14">
        <f t="shared" si="3"/>
        <v>3.4179617412593224</v>
      </c>
      <c r="V40" s="14"/>
      <c r="W40" s="14"/>
      <c r="X40" s="14"/>
      <c r="Y40" s="14"/>
      <c r="Z40" s="15"/>
      <c r="AE40" s="14" t="e">
        <f>10*LOG10((#REF!+#REF!+#REF!)^2+(#REF!*#REF!*$T40-(#REF!*(#REF!+#REF!)+4*#REF!*#REF!))*$T40)-10*LOG10((1+#REF!+#REF!)^2+(1*#REF!*$T40-(#REF!*(1+#REF!)+4*1*#REF!))*$T40)</f>
        <v>#REF!</v>
      </c>
      <c r="AF40" s="14" t="e">
        <f>10*LOG10((#REF!+#REF!+#REF!)^2+(#REF!*#REF!*$T40-(#REF!*(#REF!+#REF!)+4*#REF!*#REF!))*$T40)-10*LOG10((1+#REF!+#REF!)^2+(1*#REF!*$T40-(#REF!*(1+#REF!)+4*1*#REF!))*$T40)</f>
        <v>#REF!</v>
      </c>
      <c r="AG40" s="14" t="e">
        <f>10*LOG10((#REF!+#REF!+#REF!)^2+(#REF!*#REF!*$T40-(#REF!*(#REF!+#REF!)+4*#REF!*#REF!))*$T40)-10*LOG10((1+#REF!+#REF!)^2+(1*#REF!*$T40-(#REF!*(1+#REF!)+4*1*#REF!))*$T40)</f>
        <v>#REF!</v>
      </c>
      <c r="AH40" s="14" t="e">
        <f>10*LOG10((#REF!+#REF!+#REF!)^2+(#REF!*#REF!*$T40-(#REF!*(#REF!+#REF!)+4*#REF!*#REF!))*$T40)-10*LOG10((1+#REF!+#REF!)^2+(1*#REF!*$T40-(#REF!*(1+#REF!)+4*1*#REF!))*$T40)</f>
        <v>#REF!</v>
      </c>
      <c r="AI40" s="14" t="e">
        <f>10*LOG10((#REF!+#REF!+#REF!)^2+(#REF!*#REF!*$T40-(#REF!*(#REF!+#REF!)+4*#REF!*#REF!))*$T40)-10*LOG10((1+#REF!+#REF!)^2+(1*#REF!*$T40-(#REF!*(1+#REF!)+4*1*#REF!))*$T40)</f>
        <v>#REF!</v>
      </c>
      <c r="AJ40" s="15" t="e">
        <f t="shared" si="4"/>
        <v>#REF!</v>
      </c>
      <c r="AL40" s="1" t="e">
        <f t="shared" si="0"/>
        <v>#REF!</v>
      </c>
    </row>
    <row r="41" spans="18:38" ht="12">
      <c r="R41" s="13">
        <v>5184</v>
      </c>
      <c r="S41" s="13">
        <f t="shared" si="1"/>
        <v>0.7385948442725391</v>
      </c>
      <c r="T41" s="13">
        <f t="shared" si="2"/>
        <v>0.5211693822007721</v>
      </c>
      <c r="U41" s="14">
        <f t="shared" si="3"/>
        <v>2.233614484592332</v>
      </c>
      <c r="V41" s="14"/>
      <c r="W41" s="14"/>
      <c r="X41" s="14"/>
      <c r="Y41" s="14"/>
      <c r="Z41" s="15"/>
      <c r="AE41" s="14" t="e">
        <f>10*LOG10((#REF!+#REF!+#REF!)^2+(#REF!*#REF!*$T41-(#REF!*(#REF!+#REF!)+4*#REF!*#REF!))*$T41)-10*LOG10((1+#REF!+#REF!)^2+(1*#REF!*$T41-(#REF!*(1+#REF!)+4*1*#REF!))*$T41)</f>
        <v>#REF!</v>
      </c>
      <c r="AF41" s="14" t="e">
        <f>10*LOG10((#REF!+#REF!+#REF!)^2+(#REF!*#REF!*$T41-(#REF!*(#REF!+#REF!)+4*#REF!*#REF!))*$T41)-10*LOG10((1+#REF!+#REF!)^2+(1*#REF!*$T41-(#REF!*(1+#REF!)+4*1*#REF!))*$T41)</f>
        <v>#REF!</v>
      </c>
      <c r="AG41" s="14" t="e">
        <f>10*LOG10((#REF!+#REF!+#REF!)^2+(#REF!*#REF!*$T41-(#REF!*(#REF!+#REF!)+4*#REF!*#REF!))*$T41)-10*LOG10((1+#REF!+#REF!)^2+(1*#REF!*$T41-(#REF!*(1+#REF!)+4*1*#REF!))*$T41)</f>
        <v>#REF!</v>
      </c>
      <c r="AH41" s="14" t="e">
        <f>10*LOG10((#REF!+#REF!+#REF!)^2+(#REF!*#REF!*$T41-(#REF!*(#REF!+#REF!)+4*#REF!*#REF!))*$T41)-10*LOG10((1+#REF!+#REF!)^2+(1*#REF!*$T41-(#REF!*(1+#REF!)+4*1*#REF!))*$T41)</f>
        <v>#REF!</v>
      </c>
      <c r="AI41" s="14" t="e">
        <f>10*LOG10((#REF!+#REF!+#REF!)^2+(#REF!*#REF!*$T41-(#REF!*(#REF!+#REF!)+4*#REF!*#REF!))*$T41)-10*LOG10((1+#REF!+#REF!)^2+(1*#REF!*$T41-(#REF!*(1+#REF!)+4*1*#REF!))*$T41)</f>
        <v>#REF!</v>
      </c>
      <c r="AJ41" s="15" t="e">
        <f t="shared" si="4"/>
        <v>#REF!</v>
      </c>
      <c r="AL41" s="1" t="e">
        <f t="shared" si="0"/>
        <v>#REF!</v>
      </c>
    </row>
    <row r="42" spans="18:38" ht="12">
      <c r="R42" s="13">
        <v>6167</v>
      </c>
      <c r="S42" s="13">
        <f t="shared" si="1"/>
        <v>0.8786486120040023</v>
      </c>
      <c r="T42" s="13">
        <f t="shared" si="2"/>
        <v>0.7236157412956993</v>
      </c>
      <c r="U42" s="14">
        <f t="shared" si="3"/>
        <v>1.397224806358869</v>
      </c>
      <c r="V42" s="14"/>
      <c r="W42" s="14"/>
      <c r="X42" s="14"/>
      <c r="Y42" s="14"/>
      <c r="Z42" s="15"/>
      <c r="AE42" s="14" t="e">
        <f>10*LOG10((#REF!+#REF!+#REF!)^2+(#REF!*#REF!*$T42-(#REF!*(#REF!+#REF!)+4*#REF!*#REF!))*$T42)-10*LOG10((1+#REF!+#REF!)^2+(1*#REF!*$T42-(#REF!*(1+#REF!)+4*1*#REF!))*$T42)</f>
        <v>#REF!</v>
      </c>
      <c r="AF42" s="14" t="e">
        <f>10*LOG10((#REF!+#REF!+#REF!)^2+(#REF!*#REF!*$T42-(#REF!*(#REF!+#REF!)+4*#REF!*#REF!))*$T42)-10*LOG10((1+#REF!+#REF!)^2+(1*#REF!*$T42-(#REF!*(1+#REF!)+4*1*#REF!))*$T42)</f>
        <v>#REF!</v>
      </c>
      <c r="AG42" s="14" t="e">
        <f>10*LOG10((#REF!+#REF!+#REF!)^2+(#REF!*#REF!*$T42-(#REF!*(#REF!+#REF!)+4*#REF!*#REF!))*$T42)-10*LOG10((1+#REF!+#REF!)^2+(1*#REF!*$T42-(#REF!*(1+#REF!)+4*1*#REF!))*$T42)</f>
        <v>#REF!</v>
      </c>
      <c r="AH42" s="14" t="e">
        <f>10*LOG10((#REF!+#REF!+#REF!)^2+(#REF!*#REF!*$T42-(#REF!*(#REF!+#REF!)+4*#REF!*#REF!))*$T42)-10*LOG10((1+#REF!+#REF!)^2+(1*#REF!*$T42-(#REF!*(1+#REF!)+4*1*#REF!))*$T42)</f>
        <v>#REF!</v>
      </c>
      <c r="AI42" s="14" t="e">
        <f>10*LOG10((#REF!+#REF!+#REF!)^2+(#REF!*#REF!*$T42-(#REF!*(#REF!+#REF!)+4*#REF!*#REF!))*$T42)-10*LOG10((1+#REF!+#REF!)^2+(1*#REF!*$T42-(#REF!*(1+#REF!)+4*1*#REF!))*$T42)</f>
        <v>#REF!</v>
      </c>
      <c r="AJ42" s="15" t="e">
        <f t="shared" si="4"/>
        <v>#REF!</v>
      </c>
      <c r="AL42" s="1" t="e">
        <f t="shared" si="0"/>
        <v>#REF!</v>
      </c>
    </row>
    <row r="43" spans="18:38" ht="12">
      <c r="R43" s="13">
        <v>7336</v>
      </c>
      <c r="S43" s="13">
        <f t="shared" si="1"/>
        <v>1.0452028891943186</v>
      </c>
      <c r="T43" s="13">
        <f t="shared" si="2"/>
        <v>0.9965471356966761</v>
      </c>
      <c r="U43" s="14">
        <f t="shared" si="3"/>
        <v>0.8040043826576835</v>
      </c>
      <c r="V43" s="14"/>
      <c r="W43" s="14"/>
      <c r="X43" s="14"/>
      <c r="Y43" s="14"/>
      <c r="Z43" s="15"/>
      <c r="AE43" s="14" t="e">
        <f>10*LOG10((#REF!+#REF!+#REF!)^2+(#REF!*#REF!*$T43-(#REF!*(#REF!+#REF!)+4*#REF!*#REF!))*$T43)-10*LOG10((1+#REF!+#REF!)^2+(1*#REF!*$T43-(#REF!*(1+#REF!)+4*1*#REF!))*$T43)</f>
        <v>#REF!</v>
      </c>
      <c r="AF43" s="14" t="e">
        <f>10*LOG10((#REF!+#REF!+#REF!)^2+(#REF!*#REF!*$T43-(#REF!*(#REF!+#REF!)+4*#REF!*#REF!))*$T43)-10*LOG10((1+#REF!+#REF!)^2+(1*#REF!*$T43-(#REF!*(1+#REF!)+4*1*#REF!))*$T43)</f>
        <v>#REF!</v>
      </c>
      <c r="AG43" s="14" t="e">
        <f>10*LOG10((#REF!+#REF!+#REF!)^2+(#REF!*#REF!*$T43-(#REF!*(#REF!+#REF!)+4*#REF!*#REF!))*$T43)-10*LOG10((1+#REF!+#REF!)^2+(1*#REF!*$T43-(#REF!*(1+#REF!)+4*1*#REF!))*$T43)</f>
        <v>#REF!</v>
      </c>
      <c r="AH43" s="14" t="e">
        <f>10*LOG10((#REF!+#REF!+#REF!)^2+(#REF!*#REF!*$T43-(#REF!*(#REF!+#REF!)+4*#REF!*#REF!))*$T43)-10*LOG10((1+#REF!+#REF!)^2+(1*#REF!*$T43-(#REF!*(1+#REF!)+4*1*#REF!))*$T43)</f>
        <v>#REF!</v>
      </c>
      <c r="AI43" s="14" t="e">
        <f>10*LOG10((#REF!+#REF!+#REF!)^2+(#REF!*#REF!*$T43-(#REF!*(#REF!+#REF!)+4*#REF!*#REF!))*$T43)-10*LOG10((1+#REF!+#REF!)^2+(1*#REF!*$T43-(#REF!*(1+#REF!)+4*1*#REF!))*$T43)</f>
        <v>#REF!</v>
      </c>
      <c r="AJ43" s="15" t="e">
        <f t="shared" si="4"/>
        <v>#REF!</v>
      </c>
      <c r="AL43" s="1" t="e">
        <f t="shared" si="0"/>
        <v>#REF!</v>
      </c>
    </row>
    <row r="44" spans="18:38" ht="12">
      <c r="R44" s="13">
        <v>8728</v>
      </c>
      <c r="S44" s="13">
        <f t="shared" si="1"/>
        <v>1.2435292825637965</v>
      </c>
      <c r="T44" s="13">
        <f t="shared" si="2"/>
        <v>1.3570873408251296</v>
      </c>
      <c r="U44" s="14">
        <f t="shared" si="3"/>
        <v>0.3832949329750226</v>
      </c>
      <c r="V44" s="14"/>
      <c r="W44" s="14"/>
      <c r="X44" s="14"/>
      <c r="Y44" s="14"/>
      <c r="Z44" s="15"/>
      <c r="AE44" s="14" t="e">
        <f>10*LOG10((#REF!+#REF!+#REF!)^2+(#REF!*#REF!*$T44-(#REF!*(#REF!+#REF!)+4*#REF!*#REF!))*$T44)-10*LOG10((1+#REF!+#REF!)^2+(1*#REF!*$T44-(#REF!*(1+#REF!)+4*1*#REF!))*$T44)</f>
        <v>#REF!</v>
      </c>
      <c r="AF44" s="14" t="e">
        <f>10*LOG10((#REF!+#REF!+#REF!)^2+(#REF!*#REF!*$T44-(#REF!*(#REF!+#REF!)+4*#REF!*#REF!))*$T44)-10*LOG10((1+#REF!+#REF!)^2+(1*#REF!*$T44-(#REF!*(1+#REF!)+4*1*#REF!))*$T44)</f>
        <v>#REF!</v>
      </c>
      <c r="AG44" s="14" t="e">
        <f>10*LOG10((#REF!+#REF!+#REF!)^2+(#REF!*#REF!*$T44-(#REF!*(#REF!+#REF!)+4*#REF!*#REF!))*$T44)-10*LOG10((1+#REF!+#REF!)^2+(1*#REF!*$T44-(#REF!*(1+#REF!)+4*1*#REF!))*$T44)</f>
        <v>#REF!</v>
      </c>
      <c r="AH44" s="14" t="e">
        <f>10*LOG10((#REF!+#REF!+#REF!)^2+(#REF!*#REF!*$T44-(#REF!*(#REF!+#REF!)+4*#REF!*#REF!))*$T44)-10*LOG10((1+#REF!+#REF!)^2+(1*#REF!*$T44-(#REF!*(1+#REF!)+4*1*#REF!))*$T44)</f>
        <v>#REF!</v>
      </c>
      <c r="AI44" s="14" t="e">
        <f>10*LOG10((#REF!+#REF!+#REF!)^2+(#REF!*#REF!*$T44-(#REF!*(#REF!+#REF!)+4*#REF!*#REF!))*$T44)-10*LOG10((1+#REF!+#REF!)^2+(1*#REF!*$T44-(#REF!*(1+#REF!)+4*1*#REF!))*$T44)</f>
        <v>#REF!</v>
      </c>
      <c r="AJ44" s="15" t="e">
        <f t="shared" si="4"/>
        <v>#REF!</v>
      </c>
      <c r="AL44" s="1" t="e">
        <f t="shared" si="0"/>
        <v>#REF!</v>
      </c>
    </row>
    <row r="45" spans="18:38" ht="12">
      <c r="R45" s="13">
        <v>10384</v>
      </c>
      <c r="S45" s="13">
        <f t="shared" si="1"/>
        <v>1.4794693022619687</v>
      </c>
      <c r="T45" s="13">
        <f t="shared" si="2"/>
        <v>1.8175997532346715</v>
      </c>
      <c r="U45" s="14">
        <f t="shared" si="3"/>
        <v>0.08684229429454149</v>
      </c>
      <c r="V45" s="14"/>
      <c r="W45" s="14"/>
      <c r="X45" s="14"/>
      <c r="Y45" s="14"/>
      <c r="Z45" s="15"/>
      <c r="AE45" s="14" t="e">
        <f>10*LOG10((#REF!+#REF!+#REF!)^2+(#REF!*#REF!*$T45-(#REF!*(#REF!+#REF!)+4*#REF!*#REF!))*$T45)-10*LOG10((1+#REF!+#REF!)^2+(1*#REF!*$T45-(#REF!*(1+#REF!)+4*1*#REF!))*$T45)</f>
        <v>#REF!</v>
      </c>
      <c r="AF45" s="14" t="e">
        <f>10*LOG10((#REF!+#REF!+#REF!)^2+(#REF!*#REF!*$T45-(#REF!*(#REF!+#REF!)+4*#REF!*#REF!))*$T45)-10*LOG10((1+#REF!+#REF!)^2+(1*#REF!*$T45-(#REF!*(1+#REF!)+4*1*#REF!))*$T45)</f>
        <v>#REF!</v>
      </c>
      <c r="AG45" s="14" t="e">
        <f>10*LOG10((#REF!+#REF!+#REF!)^2+(#REF!*#REF!*$T45-(#REF!*(#REF!+#REF!)+4*#REF!*#REF!))*$T45)-10*LOG10((1+#REF!+#REF!)^2+(1*#REF!*$T45-(#REF!*(1+#REF!)+4*1*#REF!))*$T45)</f>
        <v>#REF!</v>
      </c>
      <c r="AH45" s="14" t="e">
        <f>10*LOG10((#REF!+#REF!+#REF!)^2+(#REF!*#REF!*$T45-(#REF!*(#REF!+#REF!)+4*#REF!*#REF!))*$T45)-10*LOG10((1+#REF!+#REF!)^2+(1*#REF!*$T45-(#REF!*(1+#REF!)+4*1*#REF!))*$T45)</f>
        <v>#REF!</v>
      </c>
      <c r="AI45" s="14" t="e">
        <f>10*LOG10((#REF!+#REF!+#REF!)^2+(#REF!*#REF!*$T45-(#REF!*(#REF!+#REF!)+4*#REF!*#REF!))*$T45)-10*LOG10((1+#REF!+#REF!)^2+(1*#REF!*$T45-(#REF!*(1+#REF!)+4*1*#REF!))*$T45)</f>
        <v>#REF!</v>
      </c>
      <c r="AJ45" s="15" t="e">
        <f t="shared" si="4"/>
        <v>#REF!</v>
      </c>
      <c r="AL45" s="1" t="e">
        <f t="shared" si="0"/>
        <v>#REF!</v>
      </c>
    </row>
    <row r="46" spans="18:38" ht="12">
      <c r="R46" s="13">
        <v>12353</v>
      </c>
      <c r="S46" s="13">
        <f t="shared" si="1"/>
        <v>1.7600042652968124</v>
      </c>
      <c r="T46" s="13">
        <f t="shared" si="2"/>
        <v>2.3761620561416947</v>
      </c>
      <c r="U46" s="14">
        <f t="shared" si="3"/>
        <v>-0.11955218201466877</v>
      </c>
      <c r="V46" s="14"/>
      <c r="W46" s="14"/>
      <c r="X46" s="14"/>
      <c r="Y46" s="14"/>
      <c r="Z46" s="15"/>
      <c r="AE46" s="14" t="e">
        <f>10*LOG10((#REF!+#REF!+#REF!)^2+(#REF!*#REF!*$T46-(#REF!*(#REF!+#REF!)+4*#REF!*#REF!))*$T46)-10*LOG10((1+#REF!+#REF!)^2+(1*#REF!*$T46-(#REF!*(1+#REF!)+4*1*#REF!))*$T46)</f>
        <v>#REF!</v>
      </c>
      <c r="AF46" s="14" t="e">
        <f>10*LOG10((#REF!+#REF!+#REF!)^2+(#REF!*#REF!*$T46-(#REF!*(#REF!+#REF!)+4*#REF!*#REF!))*$T46)-10*LOG10((1+#REF!+#REF!)^2+(1*#REF!*$T46-(#REF!*(1+#REF!)+4*1*#REF!))*$T46)</f>
        <v>#REF!</v>
      </c>
      <c r="AG46" s="14" t="e">
        <f>10*LOG10((#REF!+#REF!+#REF!)^2+(#REF!*#REF!*$T46-(#REF!*(#REF!+#REF!)+4*#REF!*#REF!))*$T46)-10*LOG10((1+#REF!+#REF!)^2+(1*#REF!*$T46-(#REF!*(1+#REF!)+4*1*#REF!))*$T46)</f>
        <v>#REF!</v>
      </c>
      <c r="AH46" s="14" t="e">
        <f>10*LOG10((#REF!+#REF!+#REF!)^2+(#REF!*#REF!*$T46-(#REF!*(#REF!+#REF!)+4*#REF!*#REF!))*$T46)-10*LOG10((1+#REF!+#REF!)^2+(1*#REF!*$T46-(#REF!*(1+#REF!)+4*1*#REF!))*$T46)</f>
        <v>#REF!</v>
      </c>
      <c r="AI46" s="14" t="e">
        <f>10*LOG10((#REF!+#REF!+#REF!)^2+(#REF!*#REF!*$T46-(#REF!*(#REF!+#REF!)+4*#REF!*#REF!))*$T46)-10*LOG10((1+#REF!+#REF!)^2+(1*#REF!*$T46-(#REF!*(1+#REF!)+4*1*#REF!))*$T46)</f>
        <v>#REF!</v>
      </c>
      <c r="AJ46" s="15" t="e">
        <f>AE46+AF46+AG46+AH46+AI46</f>
        <v>#REF!</v>
      </c>
      <c r="AL46" s="1" t="e">
        <f>AJ46+Z46</f>
        <v>#REF!</v>
      </c>
    </row>
    <row r="47" spans="18:38" ht="12">
      <c r="R47" s="13">
        <v>14696</v>
      </c>
      <c r="S47" s="13">
        <f t="shared" si="1"/>
        <v>2.0938251989639727</v>
      </c>
      <c r="T47" s="13">
        <f t="shared" si="2"/>
        <v>2.9990127359636567</v>
      </c>
      <c r="U47" s="14">
        <f t="shared" si="3"/>
        <v>-0.2595681582863474</v>
      </c>
      <c r="V47" s="14"/>
      <c r="W47" s="14"/>
      <c r="X47" s="14"/>
      <c r="Y47" s="14"/>
      <c r="Z47" s="15"/>
      <c r="AE47" s="14" t="e">
        <f>10*LOG10((#REF!+#REF!+#REF!)^2+(#REF!*#REF!*$T47-(#REF!*(#REF!+#REF!)+4*#REF!*#REF!))*$T47)-10*LOG10((1+#REF!+#REF!)^2+(1*#REF!*$T47-(#REF!*(1+#REF!)+4*1*#REF!))*$T47)</f>
        <v>#REF!</v>
      </c>
      <c r="AF47" s="14" t="e">
        <f>10*LOG10((#REF!+#REF!+#REF!)^2+(#REF!*#REF!*$T47-(#REF!*(#REF!+#REF!)+4*#REF!*#REF!))*$T47)-10*LOG10((1+#REF!+#REF!)^2+(1*#REF!*$T47-(#REF!*(1+#REF!)+4*1*#REF!))*$T47)</f>
        <v>#REF!</v>
      </c>
      <c r="AG47" s="14" t="e">
        <f>10*LOG10((#REF!+#REF!+#REF!)^2+(#REF!*#REF!*$T47-(#REF!*(#REF!+#REF!)+4*#REF!*#REF!))*$T47)-10*LOG10((1+#REF!+#REF!)^2+(1*#REF!*$T47-(#REF!*(1+#REF!)+4*1*#REF!))*$T47)</f>
        <v>#REF!</v>
      </c>
      <c r="AH47" s="14" t="e">
        <f>10*LOG10((#REF!+#REF!+#REF!)^2+(#REF!*#REF!*$T47-(#REF!*(#REF!+#REF!)+4*#REF!*#REF!))*$T47)-10*LOG10((1+#REF!+#REF!)^2+(1*#REF!*$T47-(#REF!*(1+#REF!)+4*1*#REF!))*$T47)</f>
        <v>#REF!</v>
      </c>
      <c r="AI47" s="14" t="e">
        <f>10*LOG10((#REF!+#REF!+#REF!)^2+(#REF!*#REF!*$T47-(#REF!*(#REF!+#REF!)+4*#REF!*#REF!))*$T47)-10*LOG10((1+#REF!+#REF!)^2+(1*#REF!*$T47-(#REF!*(1+#REF!)+4*1*#REF!))*$T47)</f>
        <v>#REF!</v>
      </c>
      <c r="AJ47" s="15" t="e">
        <f>AE47+AF47+AG47+AH47+AI47</f>
        <v>#REF!</v>
      </c>
      <c r="AL47" s="1" t="e">
        <f>AJ47+Z47</f>
        <v>#REF!</v>
      </c>
    </row>
    <row r="48" spans="18:38" ht="12">
      <c r="R48" s="13">
        <v>17484</v>
      </c>
      <c r="S48" s="13">
        <f t="shared" si="1"/>
        <v>2.4910478891321515</v>
      </c>
      <c r="T48" s="13">
        <f t="shared" si="2"/>
        <v>3.591507992790098</v>
      </c>
      <c r="U48" s="14">
        <f t="shared" si="3"/>
        <v>-0.34792273014059916</v>
      </c>
      <c r="V48" s="14"/>
      <c r="W48" s="14"/>
      <c r="X48" s="14"/>
      <c r="Y48" s="14"/>
      <c r="Z48" s="15"/>
      <c r="AE48" s="14" t="e">
        <f>10*LOG10((#REF!+#REF!+#REF!)^2+(#REF!*#REF!*$T48-(#REF!*(#REF!+#REF!)+4*#REF!*#REF!))*$T48)-10*LOG10((1+#REF!+#REF!)^2+(1*#REF!*$T48-(#REF!*(1+#REF!)+4*1*#REF!))*$T48)</f>
        <v>#REF!</v>
      </c>
      <c r="AF48" s="14" t="e">
        <f>10*LOG10((#REF!+#REF!+#REF!)^2+(#REF!*#REF!*$T48-(#REF!*(#REF!+#REF!)+4*#REF!*#REF!))*$T48)-10*LOG10((1+#REF!+#REF!)^2+(1*#REF!*$T48-(#REF!*(1+#REF!)+4*1*#REF!))*$T48)</f>
        <v>#REF!</v>
      </c>
      <c r="AG48" s="14" t="e">
        <f>10*LOG10((#REF!+#REF!+#REF!)^2+(#REF!*#REF!*$T48-(#REF!*(#REF!+#REF!)+4*#REF!*#REF!))*$T48)-10*LOG10((1+#REF!+#REF!)^2+(1*#REF!*$T48-(#REF!*(1+#REF!)+4*1*#REF!))*$T48)</f>
        <v>#REF!</v>
      </c>
      <c r="AH48" s="14" t="e">
        <f>10*LOG10((#REF!+#REF!+#REF!)^2+(#REF!*#REF!*$T48-(#REF!*(#REF!+#REF!)+4*#REF!*#REF!))*$T48)-10*LOG10((1+#REF!+#REF!)^2+(1*#REF!*$T48-(#REF!*(1+#REF!)+4*1*#REF!))*$T48)</f>
        <v>#REF!</v>
      </c>
      <c r="AI48" s="14" t="e">
        <f>10*LOG10((#REF!+#REF!+#REF!)^2+(#REF!*#REF!*$T48-(#REF!*(#REF!+#REF!)+4*#REF!*#REF!))*$T48)-10*LOG10((1+#REF!+#REF!)^2+(1*#REF!*$T48-(#REF!*(1+#REF!)+4*1*#REF!))*$T48)</f>
        <v>#REF!</v>
      </c>
      <c r="AJ48" s="15" t="e">
        <f>AE48+AF48+AG48+AH48+AI48</f>
        <v>#REF!</v>
      </c>
      <c r="AL48" s="1" t="e">
        <f>AJ48+Z48</f>
        <v>#REF!</v>
      </c>
    </row>
    <row r="49" spans="18:38" ht="12">
      <c r="R49" s="13">
        <v>22000</v>
      </c>
      <c r="S49" s="13">
        <f t="shared" si="1"/>
        <v>3.13446886072451</v>
      </c>
      <c r="T49" s="13">
        <f t="shared" si="2"/>
        <v>3.9999492517898294</v>
      </c>
      <c r="U49" s="14">
        <f t="shared" si="3"/>
        <v>-0.393662918228717</v>
      </c>
      <c r="V49" s="14"/>
      <c r="W49" s="14"/>
      <c r="X49" s="14"/>
      <c r="Y49" s="14"/>
      <c r="Z49" s="15"/>
      <c r="AE49" s="14" t="e">
        <f>10*LOG10((#REF!+#REF!+#REF!)^2+(#REF!*#REF!*$T49-(#REF!*(#REF!+#REF!)+4*#REF!*#REF!))*$T49)-10*LOG10((1+#REF!+#REF!)^2+(1*#REF!*$T49-(#REF!*(1+#REF!)+4*1*#REF!))*$T49)</f>
        <v>#REF!</v>
      </c>
      <c r="AF49" s="14" t="e">
        <f>10*LOG10((#REF!+#REF!+#REF!)^2+(#REF!*#REF!*$T49-(#REF!*(#REF!+#REF!)+4*#REF!*#REF!))*$T49)-10*LOG10((1+#REF!+#REF!)^2+(1*#REF!*$T49-(#REF!*(1+#REF!)+4*1*#REF!))*$T49)</f>
        <v>#REF!</v>
      </c>
      <c r="AG49" s="14" t="e">
        <f>10*LOG10((#REF!+#REF!+#REF!)^2+(#REF!*#REF!*$T49-(#REF!*(#REF!+#REF!)+4*#REF!*#REF!))*$T49)-10*LOG10((1+#REF!+#REF!)^2+(1*#REF!*$T49-(#REF!*(1+#REF!)+4*1*#REF!))*$T49)</f>
        <v>#REF!</v>
      </c>
      <c r="AH49" s="14" t="e">
        <f>10*LOG10((#REF!+#REF!+#REF!)^2+(#REF!*#REF!*$T49-(#REF!*(#REF!+#REF!)+4*#REF!*#REF!))*$T49)-10*LOG10((1+#REF!+#REF!)^2+(1*#REF!*$T49-(#REF!*(1+#REF!)+4*1*#REF!))*$T49)</f>
        <v>#REF!</v>
      </c>
      <c r="AI49" s="14" t="e">
        <f>10*LOG10((#REF!+#REF!+#REF!)^2+(#REF!*#REF!*$T49-(#REF!*(#REF!+#REF!)+4*#REF!*#REF!))*$T49)-10*LOG10((1+#REF!+#REF!)^2+(1*#REF!*$T49-(#REF!*(1+#REF!)+4*1*#REF!))*$T49)</f>
        <v>#REF!</v>
      </c>
      <c r="AJ49" s="15" t="e">
        <f>AE49+AF49+AG49+AH49+AI49</f>
        <v>#REF!</v>
      </c>
      <c r="AL49" s="1" t="e">
        <f>AJ49+Z49</f>
        <v>#REF!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6:AL708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6" max="6" width="9.57421875" style="0" customWidth="1"/>
    <col min="7" max="7" width="10.00390625" style="0" customWidth="1"/>
    <col min="11" max="11" width="13.140625" style="0" customWidth="1"/>
    <col min="12" max="12" width="9.7109375" style="0" customWidth="1"/>
    <col min="13" max="13" width="11.421875" style="0" customWidth="1"/>
    <col min="14" max="14" width="10.7109375" style="0" customWidth="1"/>
    <col min="15" max="16" width="8.8515625" style="0" bestFit="1" customWidth="1"/>
    <col min="17" max="17" width="10.8515625" style="0" customWidth="1"/>
    <col min="20" max="20" width="12.140625" style="0" bestFit="1" customWidth="1"/>
    <col min="21" max="21" width="11.7109375" style="0" customWidth="1"/>
    <col min="22" max="22" width="11.421875" style="0" customWidth="1"/>
    <col min="23" max="23" width="11.8515625" style="0" customWidth="1"/>
    <col min="24" max="24" width="13.7109375" style="0" customWidth="1"/>
    <col min="25" max="25" width="11.57421875" style="0" customWidth="1"/>
    <col min="26" max="26" width="10.8515625" style="0" customWidth="1"/>
    <col min="31" max="31" width="12.8515625" style="0" customWidth="1"/>
    <col min="32" max="32" width="13.00390625" style="0" customWidth="1"/>
    <col min="33" max="33" width="12.421875" style="0" customWidth="1"/>
    <col min="34" max="34" width="12.7109375" style="0" customWidth="1"/>
    <col min="35" max="35" width="12.8515625" style="0" customWidth="1"/>
    <col min="36" max="36" width="11.421875" style="0" customWidth="1"/>
  </cols>
  <sheetData>
    <row r="16" spans="2:6" ht="12.75">
      <c r="B16" s="18" t="s">
        <v>100</v>
      </c>
      <c r="C16" s="18" t="s">
        <v>101</v>
      </c>
      <c r="D16" t="s">
        <v>105</v>
      </c>
      <c r="E16" t="s">
        <v>106</v>
      </c>
      <c r="F16" t="s">
        <v>107</v>
      </c>
    </row>
    <row r="17" ht="12.75">
      <c r="H17" t="s">
        <v>128</v>
      </c>
    </row>
    <row r="18" ht="12.75">
      <c r="H18" t="s">
        <v>127</v>
      </c>
    </row>
    <row r="19" ht="12.75">
      <c r="H19" t="s">
        <v>129</v>
      </c>
    </row>
    <row r="22" ht="12.75">
      <c r="H22" t="s">
        <v>140</v>
      </c>
    </row>
    <row r="23" spans="8:10" ht="12.75">
      <c r="H23" t="s">
        <v>141</v>
      </c>
      <c r="J23" t="s">
        <v>37</v>
      </c>
    </row>
    <row r="24" spans="8:10" ht="12.75">
      <c r="H24" t="s">
        <v>142</v>
      </c>
      <c r="J24" t="s">
        <v>145</v>
      </c>
    </row>
    <row r="26" spans="8:10" ht="12.75">
      <c r="H26" t="s">
        <v>143</v>
      </c>
      <c r="J26" t="s">
        <v>144</v>
      </c>
    </row>
    <row r="34" spans="1:6" ht="12">
      <c r="A34" t="s">
        <v>95</v>
      </c>
      <c r="B34" s="1">
        <f>10^(B48/333333)*20</f>
        <v>2000</v>
      </c>
      <c r="C34" s="1">
        <f>10^(C48/333333)*20</f>
        <v>99.99739687455319</v>
      </c>
      <c r="D34" s="1">
        <f>10^(D48/333333)*20</f>
        <v>10000.015994567402</v>
      </c>
      <c r="E34" s="1">
        <f>10^(E48/333333)*20</f>
        <v>49.997742279755144</v>
      </c>
      <c r="F34" s="1">
        <f>10^(F48/333333)*20</f>
        <v>274.9983790696313</v>
      </c>
    </row>
    <row r="35" spans="1:6" ht="12">
      <c r="A35" t="s">
        <v>33</v>
      </c>
      <c r="B35" s="1">
        <f>B49/1000000*10+0.002</f>
        <v>0.8152699999999999</v>
      </c>
      <c r="C35" s="1">
        <f>C49/1000000*10+0.002</f>
        <v>0.78515</v>
      </c>
      <c r="D35" s="1">
        <f>D49/1000000*10+0.002</f>
        <v>1.05623</v>
      </c>
      <c r="E35" s="1">
        <f>E49/1000000*10+0.002</f>
        <v>0.8152699999999999</v>
      </c>
      <c r="F35" s="1">
        <f>F49/1000000*30+0.002</f>
        <v>30.002</v>
      </c>
    </row>
    <row r="36" spans="1:6" ht="12">
      <c r="A36" t="s">
        <v>34</v>
      </c>
      <c r="B36" s="1">
        <f>(B50-500000)/500000*30</f>
        <v>-29.999940000000002</v>
      </c>
      <c r="C36" s="1">
        <f>(C50-500000)/500000*30</f>
        <v>-29.999940000000002</v>
      </c>
      <c r="D36" s="1">
        <f>(D50-500000)/500000*30</f>
        <v>14.4579</v>
      </c>
      <c r="E36" s="1">
        <f>(E50-500000)/500000*30</f>
        <v>19.9956</v>
      </c>
      <c r="F36" s="1">
        <f>(F50-500000)/500000*30</f>
        <v>-29.999940000000002</v>
      </c>
    </row>
    <row r="37" spans="1:6" ht="12">
      <c r="A37" t="s">
        <v>123</v>
      </c>
      <c r="B37">
        <f>((B51-500000)/500000*20)</f>
        <v>0</v>
      </c>
      <c r="C37">
        <f>((C51-500000)/500000*20)</f>
        <v>0</v>
      </c>
      <c r="D37">
        <f>((D51-500000)/500000*20)</f>
        <v>0</v>
      </c>
      <c r="E37">
        <f>((E51-500000)/500000*20)</f>
        <v>0</v>
      </c>
      <c r="F37">
        <f>((F51-500000)/500000*20)</f>
        <v>0</v>
      </c>
    </row>
    <row r="48" spans="1:10" ht="12">
      <c r="A48" t="s">
        <v>96</v>
      </c>
      <c r="B48">
        <v>666666</v>
      </c>
      <c r="C48">
        <v>232986</v>
      </c>
      <c r="D48">
        <v>899656</v>
      </c>
      <c r="E48">
        <v>132640</v>
      </c>
      <c r="F48">
        <v>379433</v>
      </c>
      <c r="I48" t="s">
        <v>111</v>
      </c>
      <c r="J48">
        <v>500000</v>
      </c>
    </row>
    <row r="49" spans="1:10" ht="12">
      <c r="A49" t="s">
        <v>97</v>
      </c>
      <c r="B49">
        <v>81327</v>
      </c>
      <c r="C49">
        <v>78315</v>
      </c>
      <c r="D49">
        <v>105423</v>
      </c>
      <c r="E49">
        <v>81327</v>
      </c>
      <c r="F49">
        <v>1000000</v>
      </c>
      <c r="I49" t="s">
        <v>110</v>
      </c>
      <c r="J49">
        <f>(J48-500000)/500000*20</f>
        <v>0</v>
      </c>
    </row>
    <row r="50" spans="1:10" ht="12">
      <c r="A50" t="s">
        <v>98</v>
      </c>
      <c r="B50">
        <v>1</v>
      </c>
      <c r="C50">
        <v>1</v>
      </c>
      <c r="D50">
        <v>740965</v>
      </c>
      <c r="E50">
        <v>833260</v>
      </c>
      <c r="F50">
        <v>1</v>
      </c>
      <c r="J50" s="12">
        <f>10^(J49/20)</f>
        <v>1</v>
      </c>
    </row>
    <row r="51" spans="1:10" ht="12">
      <c r="A51" t="s">
        <v>99</v>
      </c>
      <c r="B51">
        <v>500000</v>
      </c>
      <c r="C51">
        <v>500000</v>
      </c>
      <c r="D51">
        <v>500000</v>
      </c>
      <c r="E51">
        <v>500000</v>
      </c>
      <c r="F51">
        <v>500000</v>
      </c>
      <c r="J51">
        <f>J50</f>
        <v>1</v>
      </c>
    </row>
    <row r="56" spans="1:2" ht="12">
      <c r="A56" t="s">
        <v>122</v>
      </c>
      <c r="B56">
        <v>44100</v>
      </c>
    </row>
    <row r="59" spans="2:6" ht="12">
      <c r="B59" t="s">
        <v>100</v>
      </c>
      <c r="C59" t="s">
        <v>101</v>
      </c>
      <c r="D59" t="s">
        <v>105</v>
      </c>
      <c r="E59" t="s">
        <v>106</v>
      </c>
      <c r="F59" t="s">
        <v>108</v>
      </c>
    </row>
    <row r="60" spans="1:6" ht="12">
      <c r="A60" t="s">
        <v>36</v>
      </c>
      <c r="B60" s="12">
        <f>SQRT(10^((B36)/20))</f>
        <v>0.17782855520090204</v>
      </c>
      <c r="C60" s="12">
        <f>SQRT(10^((C36)/20))</f>
        <v>0.17782855520090204</v>
      </c>
      <c r="D60" s="12">
        <f>10^((D36)/40)</f>
        <v>2.2985158347332257</v>
      </c>
      <c r="E60" s="12">
        <f>10^((E36)/40)</f>
        <v>3.16147680612054</v>
      </c>
      <c r="F60" s="12">
        <f>10^((F36)/40)</f>
        <v>0.17782855520090204</v>
      </c>
    </row>
    <row r="61" spans="1:6" ht="12">
      <c r="A61" t="s">
        <v>38</v>
      </c>
      <c r="B61">
        <f>2*PI()*B34/B56</f>
        <v>0.2849517146113191</v>
      </c>
      <c r="C61">
        <f>2*PI()*C34/B56</f>
        <v>0.014247214848036246</v>
      </c>
      <c r="D61">
        <f>2*PI()*D34/B56</f>
        <v>1.4247608518962984</v>
      </c>
      <c r="E61">
        <f>2*PI()*E34/B56</f>
        <v>0.007123471194655536</v>
      </c>
      <c r="F61">
        <f>2*PI()*F34/B56</f>
        <v>0.03918062981561247</v>
      </c>
    </row>
    <row r="62" spans="1:6" ht="12">
      <c r="A62" t="s">
        <v>40</v>
      </c>
      <c r="B62">
        <f>COS(B61)</f>
        <v>0.9596752273354968</v>
      </c>
      <c r="C62">
        <f>COS(C61)</f>
        <v>0.9998985101512816</v>
      </c>
      <c r="D62">
        <f>COS(D61)</f>
        <v>0.1455169605919912</v>
      </c>
      <c r="E62">
        <f>COS(E61)</f>
        <v>0.9999746281863583</v>
      </c>
      <c r="F62">
        <f>COS(F61)</f>
        <v>0.9992325373102181</v>
      </c>
    </row>
    <row r="63" spans="1:6" ht="12">
      <c r="A63" t="s">
        <v>41</v>
      </c>
      <c r="B63">
        <f>SIN(B61)</f>
        <v>0.28111111333165495</v>
      </c>
      <c r="C63">
        <f>SIN(C61)</f>
        <v>0.014246732862215217</v>
      </c>
      <c r="D63">
        <f>SIN(D61)</f>
        <v>0.9893557571369709</v>
      </c>
      <c r="E63">
        <f>SIN(E61)</f>
        <v>0.007123410949425756</v>
      </c>
      <c r="F63">
        <f>SIN(F61)</f>
        <v>0.03917060607884017</v>
      </c>
    </row>
    <row r="64" spans="1:6" ht="12">
      <c r="A64" t="s">
        <v>42</v>
      </c>
      <c r="B64" s="12">
        <f>B63/(2*B35)</f>
        <v>0.17240369039192843</v>
      </c>
      <c r="C64" s="12">
        <f>C63/(2*C35)</f>
        <v>0.009072618520165075</v>
      </c>
      <c r="D64" s="12">
        <f>D63/(2*D35)</f>
        <v>0.4683429542509543</v>
      </c>
      <c r="E64" s="12">
        <f>E63/(2*E35)</f>
        <v>0.004368743452736981</v>
      </c>
      <c r="F64" s="12">
        <f>F63/(2*F35)</f>
        <v>0.000652799914653026</v>
      </c>
    </row>
    <row r="65" spans="1:6" ht="12">
      <c r="A65" t="s">
        <v>124</v>
      </c>
      <c r="B65" s="12">
        <f>10^(B37/20)</f>
        <v>1</v>
      </c>
      <c r="C65" s="12">
        <f>10^(C37/20)</f>
        <v>1</v>
      </c>
      <c r="D65" s="12">
        <f>10^(D37/20)</f>
        <v>1</v>
      </c>
      <c r="E65" s="12">
        <f>10^(E37/20)</f>
        <v>1</v>
      </c>
      <c r="F65" s="12">
        <f>10^(F37/20)</f>
        <v>1</v>
      </c>
    </row>
    <row r="67" spans="11:18" ht="12">
      <c r="K67" t="s">
        <v>113</v>
      </c>
      <c r="M67" t="s">
        <v>114</v>
      </c>
      <c r="O67" t="s">
        <v>112</v>
      </c>
      <c r="P67" t="s">
        <v>115</v>
      </c>
      <c r="Q67" t="s">
        <v>116</v>
      </c>
      <c r="R67" t="s">
        <v>117</v>
      </c>
    </row>
    <row r="68" spans="1:18" ht="12.75">
      <c r="A68" t="s">
        <v>18</v>
      </c>
      <c r="B68" s="12">
        <f>B65*J51*(1-B62)/2</f>
        <v>0.02016238633225159</v>
      </c>
      <c r="C68" s="12">
        <f>C65*J51*(1+C62)/2</f>
        <v>0.9999492550756408</v>
      </c>
      <c r="D68" s="12">
        <f>D65*J51*(D60*((D60+1)+(D60-1)*D62+2*SQRT(D60)*D64))</f>
        <v>11.280122801513876</v>
      </c>
      <c r="E68" s="12">
        <f>E65*J51*(E60*((E60+1)-(E60-1)*E62+2*SQRT(E60)*E64))</f>
        <v>6.372242825181816</v>
      </c>
      <c r="F68" s="12">
        <f>F65*$J$51*(1+(F64*F60))</f>
        <v>1.000116086465658</v>
      </c>
      <c r="J68" t="s">
        <v>18</v>
      </c>
      <c r="K68" s="20">
        <v>0.9865370355843299</v>
      </c>
      <c r="L68" s="5">
        <f>K68/K71</f>
        <v>0.9769047093568034</v>
      </c>
      <c r="M68">
        <f>ROUND(L68*2^20,0)</f>
        <v>1024359</v>
      </c>
      <c r="N68" s="19" t="str">
        <f>DEC2HEX(M68)</f>
        <v>FA167</v>
      </c>
      <c r="O68" t="str">
        <f>IF(LEN(N68)&lt;&gt;6,RIGHT("000000"&amp;N68,6),N68)</f>
        <v>0FA167</v>
      </c>
      <c r="P68" s="5">
        <f>(IF(HEX2DEC(O68)&gt;8388607,(HEX2DEC(O68)-16777215),HEX2DEC(O68)))/2^20</f>
        <v>0.9769048690795898</v>
      </c>
      <c r="Q68" t="str">
        <f aca="true" t="shared" si="0" ref="Q68:Q73">TEXT(O68,"######")</f>
        <v>0FA167</v>
      </c>
      <c r="R68" t="str">
        <f aca="true" t="shared" si="1" ref="R68:R73">RIGHT(Q68,2)&amp;" "&amp;MID(Q68,3,2)&amp;" "&amp;LEFT(Q68,2)&amp;" "</f>
        <v>67 A1 0F </v>
      </c>
    </row>
    <row r="69" spans="1:18" ht="12.75">
      <c r="A69" t="s">
        <v>19</v>
      </c>
      <c r="B69" s="12">
        <f>B65*J51*(1-B62)</f>
        <v>0.04032477266450318</v>
      </c>
      <c r="C69" s="12">
        <f>C65*J51*-(1+C62)</f>
        <v>-1.9998985101512816</v>
      </c>
      <c r="D69" s="12">
        <f>D65*J51*(-2*D60*((D60-1)+(D60+1)*D62))</f>
        <v>-8.175847640783957</v>
      </c>
      <c r="E69" s="12">
        <f>E65*J51*(2*E60*((E60-1)-(E60+1)*E62))</f>
        <v>-12.645239620394854</v>
      </c>
      <c r="F69" s="12">
        <f>F65*$J$51*(-2*F62)</f>
        <v>-1.9984650746204362</v>
      </c>
      <c r="J69" t="s">
        <v>19</v>
      </c>
      <c r="K69" s="20">
        <v>-1.9676007876982309</v>
      </c>
      <c r="L69" s="5">
        <f>K69/K71</f>
        <v>-1.9483895751547284</v>
      </c>
      <c r="M69">
        <f>ROUND(L69*2^20,0)</f>
        <v>-2043035</v>
      </c>
      <c r="N69" s="19" t="str">
        <f>IF(M69&lt;0,DEC2HEX(M69+16777215),DEC2HEX(M69))</f>
        <v>E0D364</v>
      </c>
      <c r="O69" t="str">
        <f>IF(LEN(N69)&lt;&gt;6,RIGHT("000000"&amp;N69,6),N69)</f>
        <v>E0D364</v>
      </c>
      <c r="P69" s="5">
        <f>(IF(HEX2DEC(O69)&gt;8388607,(HEX2DEC(O69)-16777215),HEX2DEC(O69)))/2^20</f>
        <v>-1.948390007019043</v>
      </c>
      <c r="Q69" t="str">
        <f t="shared" si="0"/>
        <v>E0D364</v>
      </c>
      <c r="R69" t="str">
        <f t="shared" si="1"/>
        <v>64 D3 E0 </v>
      </c>
    </row>
    <row r="70" spans="1:18" ht="12.75">
      <c r="A70" t="s">
        <v>20</v>
      </c>
      <c r="B70" s="12">
        <f>B65*J51*((1-B62)/2)</f>
        <v>0.02016238633225159</v>
      </c>
      <c r="C70" s="12">
        <f>C65*J51*(1+C62)/2</f>
        <v>0.9999492550756408</v>
      </c>
      <c r="D70" s="12">
        <f>D65*J51*(D60*((D60+1)+(D60-1)*D62-2*SQRT(D60)*D64))</f>
        <v>4.751896025631214</v>
      </c>
      <c r="E70" s="12">
        <f>E65*J51*(E60*((E60+1)-(E60-1)*E62-2*SQRT(E60)*E64))</f>
        <v>6.274011153786214</v>
      </c>
      <c r="F70" s="12">
        <f>F65*$J$51*(1-(F60*F64))</f>
        <v>0.999883913534342</v>
      </c>
      <c r="J70" t="s">
        <v>20</v>
      </c>
      <c r="K70" s="20">
        <v>0.9859220145415485</v>
      </c>
      <c r="L70" s="5">
        <f>K70/K71</f>
        <v>0.9762956932414674</v>
      </c>
      <c r="M70">
        <f>ROUND(L70*2^20,0)</f>
        <v>1023720</v>
      </c>
      <c r="N70" s="19" t="str">
        <f>IF(M70&lt;0,DEC2HEX(M70+16777215),DEC2HEX(M70))</f>
        <v>F9EE8</v>
      </c>
      <c r="O70" t="str">
        <f>IF(LEN(N70)&lt;&gt;6,RIGHT("000000"&amp;N70,6),N70)</f>
        <v>0F9EE8</v>
      </c>
      <c r="P70" s="5">
        <f>(IF(HEX2DEC(O70)&gt;8388607,(HEX2DEC(O70)-16777215),HEX2DEC(O70)))/2^20</f>
        <v>0.9762954711914062</v>
      </c>
      <c r="Q70" t="str">
        <f t="shared" si="0"/>
        <v>0F9EE8</v>
      </c>
      <c r="R70" t="str">
        <f t="shared" si="1"/>
        <v>E8 9E 0F </v>
      </c>
    </row>
    <row r="71" spans="1:18" ht="12.75">
      <c r="A71" t="s">
        <v>102</v>
      </c>
      <c r="B71">
        <f>1+B64</f>
        <v>1.1724036903919284</v>
      </c>
      <c r="C71">
        <f>1+C64</f>
        <v>1.009072618520165</v>
      </c>
      <c r="D71">
        <f>(D60+1)-(D60-1)*D62+2*SQRT(D60)*D64</f>
        <v>4.529655863816308</v>
      </c>
      <c r="E71">
        <f>(E60+1)+(E60-1)*E62+2*SQRT(E60)*E64</f>
        <v>6.338434497111123</v>
      </c>
      <c r="F71" s="12">
        <f>1+(F64/F60)</f>
        <v>1.0036709510118638</v>
      </c>
      <c r="J71" t="s">
        <v>102</v>
      </c>
      <c r="K71" s="20">
        <v>1.0098600468758805</v>
      </c>
      <c r="L71" s="5">
        <v>1</v>
      </c>
      <c r="N71" s="19"/>
      <c r="P71" s="5"/>
      <c r="Q71">
        <f t="shared" si="0"/>
      </c>
      <c r="R71" t="str">
        <f t="shared" si="1"/>
        <v>   </v>
      </c>
    </row>
    <row r="72" spans="1:18" ht="12.75">
      <c r="A72" t="s">
        <v>103</v>
      </c>
      <c r="B72" s="12">
        <f>-2*B62</f>
        <v>-1.9193504546709936</v>
      </c>
      <c r="C72" s="12">
        <f>-2*C62</f>
        <v>-1.9997970203025632</v>
      </c>
      <c r="D72" s="12">
        <f>2*((D60-1)-(D60+1)*D62)</f>
        <v>1.6370516719965837</v>
      </c>
      <c r="E72" s="12">
        <f>-2*((E60-1)+(E60+1)*E62)</f>
        <v>-12.64569605605416</v>
      </c>
      <c r="F72" s="12">
        <f>-2*F62</f>
        <v>-1.9984650746204362</v>
      </c>
      <c r="J72" t="s">
        <v>103</v>
      </c>
      <c r="K72" s="20">
        <v>-1.9950739028753601</v>
      </c>
      <c r="L72" s="5">
        <f>K72/K71</f>
        <v>-1.975594449000486</v>
      </c>
      <c r="M72">
        <f>ROUND(L72*2^20,0)*-1</f>
        <v>2071561</v>
      </c>
      <c r="N72" s="19" t="str">
        <f>IF(M72&lt;0,DEC2HEX(M72+16777215),DEC2HEX(M72))</f>
        <v>1F9C09</v>
      </c>
      <c r="O72" t="str">
        <f>IF(LEN(N72)&lt;&gt;6,RIGHT("000000"&amp;N72,6),N72)</f>
        <v>1F9C09</v>
      </c>
      <c r="P72" s="5">
        <f>-(IF(HEX2DEC(O72)&gt;8388607,(HEX2DEC(O72)-16777215),HEX2DEC(O72)))/2^20</f>
        <v>-1.9755945205688477</v>
      </c>
      <c r="Q72" t="str">
        <f t="shared" si="0"/>
        <v>1F9C09</v>
      </c>
      <c r="R72" t="str">
        <f t="shared" si="1"/>
        <v>09 9C 1F </v>
      </c>
    </row>
    <row r="73" spans="1:18" ht="12.75">
      <c r="A73" t="s">
        <v>104</v>
      </c>
      <c r="B73">
        <f>1-B64</f>
        <v>0.8275963096080716</v>
      </c>
      <c r="C73">
        <f>1-C64</f>
        <v>0.990927381479835</v>
      </c>
      <c r="D73">
        <f>(D60+1)-(D60-1)*D62-2*SQRT(D60)*D64</f>
        <v>1.68946365054824</v>
      </c>
      <c r="E73">
        <f>(E60+1)+(E60-1)*E62-2*SQRT(E60)*E64</f>
        <v>6.3073630461976045</v>
      </c>
      <c r="F73">
        <f>1-(F64/F60)</f>
        <v>0.9963290489881362</v>
      </c>
      <c r="J73" t="s">
        <v>104</v>
      </c>
      <c r="K73" s="20">
        <v>0.9901399531241195</v>
      </c>
      <c r="L73" s="5">
        <f>K73/K71</f>
        <v>0.9804724488182621</v>
      </c>
      <c r="M73">
        <f>ROUND(L73*2^20,0)*-1</f>
        <v>-1028100</v>
      </c>
      <c r="N73" s="19" t="str">
        <f>IF(M73&lt;0,DEC2HEX(M73+16777215),DEC2HEX(M73))</f>
        <v>F04FFB</v>
      </c>
      <c r="O73" t="str">
        <f>IF(LEN(N73)&lt;&gt;6,RIGHT("000000"&amp;N73,6),N73)</f>
        <v>F04FFB</v>
      </c>
      <c r="P73" s="5">
        <f>-(IF(HEX2DEC(O73)&gt;8388607,(HEX2DEC(O73)-16777215),HEX2DEC(O73)))/2^20</f>
        <v>0.9804725646972656</v>
      </c>
      <c r="Q73" t="str">
        <f t="shared" si="0"/>
        <v>F04FFB</v>
      </c>
      <c r="R73" t="str">
        <f t="shared" si="1"/>
        <v>FB 4F F0 </v>
      </c>
    </row>
    <row r="74" ht="12">
      <c r="P74" s="2"/>
    </row>
    <row r="75" spans="11:16" ht="12">
      <c r="K75" t="s">
        <v>118</v>
      </c>
      <c r="L75" t="str">
        <f>R68&amp;R69&amp;R70&amp;R72&amp;R73</f>
        <v>67 A1 0F 64 D3 E0 E8 9E 0F 09 9C 1F FB 4F F0 </v>
      </c>
      <c r="P75" s="2"/>
    </row>
    <row r="77" ht="12">
      <c r="L77" t="s">
        <v>125</v>
      </c>
    </row>
    <row r="109" spans="2:7" ht="12">
      <c r="B109" t="s">
        <v>39</v>
      </c>
      <c r="C109">
        <v>563154</v>
      </c>
      <c r="D109">
        <f>10^(C109/333333)*20</f>
        <v>978.3487289712558</v>
      </c>
      <c r="E109">
        <f>LOG(C109)</f>
        <v>5.750627173190064</v>
      </c>
      <c r="G109" s="4"/>
    </row>
    <row r="110" spans="1:10" ht="13.5">
      <c r="A110" s="7"/>
      <c r="B110" t="s">
        <v>33</v>
      </c>
      <c r="C110">
        <v>912551</v>
      </c>
      <c r="D110">
        <f>C110/1000000*7</f>
        <v>6.387857</v>
      </c>
      <c r="G110" s="4"/>
      <c r="J110" s="12"/>
    </row>
    <row r="111" spans="1:4" ht="13.5">
      <c r="A111" s="8"/>
      <c r="B111" t="s">
        <v>34</v>
      </c>
      <c r="C111">
        <v>361479</v>
      </c>
      <c r="D111">
        <f>(C111-500000)/500000*20</f>
        <v>-5.54084</v>
      </c>
    </row>
    <row r="112" spans="1:14" ht="13.5">
      <c r="A112" s="8"/>
      <c r="B112" t="s">
        <v>35</v>
      </c>
      <c r="C112">
        <v>554218</v>
      </c>
      <c r="D112">
        <f>(C112-500000)/500000*20</f>
        <v>2.16872</v>
      </c>
      <c r="J112" s="12"/>
      <c r="N112" s="4"/>
    </row>
    <row r="113" spans="1:31" ht="13.5">
      <c r="A113" s="8"/>
      <c r="C113">
        <v>538360</v>
      </c>
      <c r="J113" s="12"/>
      <c r="U113" s="6" t="s">
        <v>26</v>
      </c>
      <c r="AE113" s="6" t="s">
        <v>27</v>
      </c>
    </row>
    <row r="114" spans="10:26" ht="12">
      <c r="J114" s="12"/>
      <c r="U114" s="16" t="s">
        <v>100</v>
      </c>
      <c r="V114" s="16" t="s">
        <v>101</v>
      </c>
      <c r="W114" s="16" t="s">
        <v>105</v>
      </c>
      <c r="X114" s="16" t="s">
        <v>119</v>
      </c>
      <c r="Y114" s="16" t="s">
        <v>120</v>
      </c>
      <c r="Z114" s="16" t="s">
        <v>121</v>
      </c>
    </row>
    <row r="115" spans="18:38" ht="12">
      <c r="R115" s="13" t="s">
        <v>23</v>
      </c>
      <c r="S115" s="13" t="s">
        <v>24</v>
      </c>
      <c r="T115" s="13" t="s">
        <v>25</v>
      </c>
      <c r="U115" s="13" t="s">
        <v>13</v>
      </c>
      <c r="V115" s="13" t="s">
        <v>14</v>
      </c>
      <c r="W115" s="13" t="s">
        <v>15</v>
      </c>
      <c r="X115" s="13" t="s">
        <v>16</v>
      </c>
      <c r="Y115" s="13" t="s">
        <v>17</v>
      </c>
      <c r="Z115" s="13" t="s">
        <v>0</v>
      </c>
      <c r="AE115" t="s">
        <v>8</v>
      </c>
      <c r="AF115" t="s">
        <v>9</v>
      </c>
      <c r="AG115" t="s">
        <v>10</v>
      </c>
      <c r="AH115" t="s">
        <v>11</v>
      </c>
      <c r="AI115" t="s">
        <v>12</v>
      </c>
      <c r="AJ115" t="s">
        <v>1</v>
      </c>
      <c r="AL115" t="s">
        <v>2</v>
      </c>
    </row>
    <row r="116" spans="3:38" ht="12">
      <c r="C116" t="s">
        <v>3</v>
      </c>
      <c r="D116" s="5" t="s">
        <v>18</v>
      </c>
      <c r="E116" s="5">
        <v>1</v>
      </c>
      <c r="F116" s="9"/>
      <c r="G116" s="5">
        <f>B68/B71</f>
        <v>0.017197477709671328</v>
      </c>
      <c r="H116" s="3"/>
      <c r="I116" s="3"/>
      <c r="L116" s="2"/>
      <c r="M116" s="2"/>
      <c r="N116" s="11"/>
      <c r="R116" s="13">
        <v>10</v>
      </c>
      <c r="S116" s="13">
        <f aca="true" t="shared" si="2" ref="S116:S179">2*PI()*R116/44100</f>
        <v>0.0014247585730565956</v>
      </c>
      <c r="T116" s="13">
        <f>4*(SIN(S116/2))^2</f>
        <v>2.029936648111274E-06</v>
      </c>
      <c r="U116" s="14">
        <f>10*LOG10(($G$116+$G$117+$G$118)^2+($G$116*$G$118*T116-($G$117*($G$116+$G$118)+4*$G$116*$G$118))*T116)-10*LOG10((1+$G$119+$G$120)^2+(1*$G$120*T116-($G$119*(1+$G$120)+4*1*$G$120))*T116)</f>
        <v>5.306755305412025E-05</v>
      </c>
      <c r="V116" s="14">
        <f aca="true" t="shared" si="3" ref="V116:V179">10*LOG10(($G$121+$G$122+$G$123)^2+($G$121*$G$123*$T116-($G$122*($G$121+$G$123)+4*$G$121*$G$123))*$T116)-10*LOG10((1+$G$124+$G$125)^2+(1*$G$125*$T116-($G$124*(1+$G$125)+4*1*$G$125))*$T116)</f>
        <v>-39.983834036029606</v>
      </c>
      <c r="W116" s="14">
        <f aca="true" t="shared" si="4" ref="W116:W179">10*LOG10(($G$126+$G$127+$G$128)^2+($G$126*$G$128*$T116-($G$127*($G$126+$G$128)+4*$G$126*$G$128))*$T116)-10*LOG10((1+$G$129+$G$130)^2+(1*$G$130*$T116-($G$129*(1+$G$130)+4*1*$G$130))*$T116)</f>
        <v>-6.076452910619423E-06</v>
      </c>
      <c r="X116" s="14">
        <f aca="true" t="shared" si="5" ref="X116:X179">10*LOG10(($G$131+$G$132+$G$133)^2+($G$131*$G$133*$T116-($G$132*($G$131+$G$133)+4*$G$131*$G$133))*$T116)-10*LOG10((1+$G$134+$G$135)^2+(1*$G$135*$T116-($G$134*(1+$G$135)+4*1*$G$135))*$T116)</f>
        <v>20.176548401194395</v>
      </c>
      <c r="Y116" s="14">
        <f aca="true" t="shared" si="6" ref="Y116:Y179">10*LOG10(($G$136+$G$137+$G$138)^2+($G$136*$G$138*$T116-($G$137*($G$136+$G$138)+4*$G$136*$G$138))*$T116)-10*LOG10((1+$G$139+$G$140)^2+(1*$G$140*$T116-($G$139*(1+$G$140)+4*1*$G$140))*$T116)</f>
        <v>-0.00020202915098366248</v>
      </c>
      <c r="Z116" s="15">
        <f aca="true" t="shared" si="7" ref="Z116:Z157">U116+V116+W116+X116+Y116</f>
        <v>-19.807440672886052</v>
      </c>
      <c r="AE116" s="14">
        <f aca="true" t="shared" si="8" ref="AE116:AE157">10*LOG10(($G$141+$G$142+$G$143)^2+($G$141*$G$143*$T116-($G$142*($G$141+$G$143)+4*$G$141*$G$143))*$T116)-10*LOG10((1+$G$144+$G$145)^2+(1*$G$145*$T116-($G$144*(1+$G$145)+4*1*$G$145))*$T116)</f>
        <v>-1.5122528253641576E-05</v>
      </c>
      <c r="AF116" s="14">
        <f aca="true" t="shared" si="9" ref="AF116:AF157">10*LOG10(($G$146+$G$147+$G$148)^2+($G$146*$G$148*$T116-($G$147*($G$146+$G$148)+4*$G$146*$G$148))*$T116)-10*LOG10((1+$G$149+$G$150)^2+(1*$G$150*$T116-($G$149*(1+$G$150)+4*1*$G$150))*$T116)</f>
        <v>0.0023211591513216945</v>
      </c>
      <c r="AG116" s="14">
        <f aca="true" t="shared" si="10" ref="AG116:AG157">10*LOG10(($G$151+$G$152+$G$153)^2+($G$151*$G$153*$T116-($G$152*($G$151+$G$153)+4*$G$151*$G$153))*$T116)-10*LOG10((1+$G$154+$G$155)^2+(1*$G$155*$T116-($G$154*(1+$G$155)+4*1*$G$155))*$T116)</f>
        <v>-3.925821306477758</v>
      </c>
      <c r="AH116" s="14">
        <f aca="true" t="shared" si="11" ref="AH116:AH157">10*LOG10(($G$156+$G$157+$G$158)^2+($G$156*$G$158*$T116-($G$157*($G$156+$G$158)+4*$G$156*$G$158))*$T116)-10*LOG10((1+$G$159+$G$160)^2+(1*$G$160*$T116-($G$159*(1+$G$160)+4*1*$G$160))*$T116)</f>
        <v>0.051248130079269316</v>
      </c>
      <c r="AI116" s="14">
        <f aca="true" t="shared" si="12" ref="AI116:AI157">10*LOG10(($G$161+$G$162+$G$163)^2+($G$161*$G$163*$T116-($G$162*($G$161+$G$163)+4*$G$161*$G$163))*$T116)-10*LOG10((1+$G$164+$G$165)^2+(1*$G$165*$T116-($G$164*(1+$G$165)+4*1*$G$165))*$T116)</f>
        <v>0.0002472911237063613</v>
      </c>
      <c r="AJ116" s="15">
        <f aca="true" t="shared" si="13" ref="AJ116:AJ157">AE116+AF116+AG116+AH116+AI116</f>
        <v>-3.872019848651714</v>
      </c>
      <c r="AL116" s="1">
        <f aca="true" t="shared" si="14" ref="AL116:AL157">AJ116+Z116</f>
        <v>-23.679460521537766</v>
      </c>
    </row>
    <row r="117" spans="2:38" ht="12.75">
      <c r="B117" s="2"/>
      <c r="C117" s="17" t="s">
        <v>100</v>
      </c>
      <c r="D117" s="5" t="s">
        <v>19</v>
      </c>
      <c r="E117" s="5">
        <v>2</v>
      </c>
      <c r="F117" s="9"/>
      <c r="G117" s="5">
        <f>B69/B71</f>
        <v>0.034394955419342656</v>
      </c>
      <c r="H117" s="3"/>
      <c r="I117" s="3"/>
      <c r="L117" s="2"/>
      <c r="M117" s="2"/>
      <c r="N117" s="2"/>
      <c r="R117" s="13">
        <v>10.2</v>
      </c>
      <c r="S117" s="13">
        <f t="shared" si="2"/>
        <v>0.0014532537445177273</v>
      </c>
      <c r="T117" s="13">
        <f aca="true" t="shared" si="15" ref="T117:T180">4*(SIN(S117/2))^2</f>
        <v>2.1119460742616727E-06</v>
      </c>
      <c r="U117" s="14">
        <f aca="true" t="shared" si="16" ref="U117:U180">10*LOG10(($G$116+$G$117+$G$118)^2+($G$116*$G$118*T117-($G$117*($G$116+$G$118)+4*$G$116*$G$118))*T117)-10*LOG10((1+$G$119+$G$120)^2+(1*$G$120*T117-($G$119*(1+$G$120)+4*1*$G$120))*T117)</f>
        <v>5.521138554698268E-05</v>
      </c>
      <c r="V117" s="14">
        <f t="shared" si="3"/>
        <v>-39.6391975421883</v>
      </c>
      <c r="W117" s="14">
        <f t="shared" si="4"/>
        <v>-6.321941526721275E-06</v>
      </c>
      <c r="X117" s="14">
        <f t="shared" si="5"/>
        <v>20.181029207752744</v>
      </c>
      <c r="Y117" s="14">
        <f t="shared" si="6"/>
        <v>-0.0002102134165866687</v>
      </c>
      <c r="Z117" s="15">
        <f t="shared" si="7"/>
        <v>-19.458329658408125</v>
      </c>
      <c r="AE117" s="14">
        <f t="shared" si="8"/>
        <v>-1.5733609053825148E-05</v>
      </c>
      <c r="AF117" s="14">
        <f t="shared" si="9"/>
        <v>0.0024149280124916572</v>
      </c>
      <c r="AG117" s="14">
        <f t="shared" si="10"/>
        <v>-3.9159916535719006</v>
      </c>
      <c r="AH117" s="14">
        <f t="shared" si="11"/>
        <v>0.05125066759165264</v>
      </c>
      <c r="AI117" s="14">
        <f t="shared" si="12"/>
        <v>0.00025729334151947114</v>
      </c>
      <c r="AJ117" s="15">
        <f t="shared" si="13"/>
        <v>-3.8620844982352907</v>
      </c>
      <c r="AL117" s="1">
        <f t="shared" si="14"/>
        <v>-23.320414156643416</v>
      </c>
    </row>
    <row r="118" spans="4:38" ht="12">
      <c r="D118" s="5" t="s">
        <v>20</v>
      </c>
      <c r="E118" s="5">
        <v>3</v>
      </c>
      <c r="F118" s="9"/>
      <c r="G118" s="5">
        <f>B70/B71</f>
        <v>0.017197477709671328</v>
      </c>
      <c r="H118" s="3"/>
      <c r="I118" s="3"/>
      <c r="L118" s="2"/>
      <c r="M118" s="2"/>
      <c r="N118" s="2"/>
      <c r="R118" s="13">
        <v>10.404</v>
      </c>
      <c r="S118" s="13">
        <f t="shared" si="2"/>
        <v>0.001482318819408082</v>
      </c>
      <c r="T118" s="13">
        <f t="shared" si="15"/>
        <v>2.1972686800387814E-06</v>
      </c>
      <c r="U118" s="14">
        <f t="shared" si="16"/>
        <v>5.7441820910497654E-05</v>
      </c>
      <c r="V118" s="14">
        <f t="shared" si="3"/>
        <v>-39.294537025484004</v>
      </c>
      <c r="W118" s="14">
        <f t="shared" si="4"/>
        <v>-6.577347875236228E-06</v>
      </c>
      <c r="X118" s="14">
        <f t="shared" si="5"/>
        <v>20.18544757027476</v>
      </c>
      <c r="Y118" s="14">
        <f t="shared" si="6"/>
        <v>-0.00021873016765283637</v>
      </c>
      <c r="Z118" s="15">
        <f t="shared" si="7"/>
        <v>-19.109257320903858</v>
      </c>
      <c r="AE118" s="14">
        <f t="shared" si="8"/>
        <v>-1.6369388283976605E-05</v>
      </c>
      <c r="AF118" s="14">
        <f t="shared" si="9"/>
        <v>0.0025124846438018267</v>
      </c>
      <c r="AG118" s="14">
        <f t="shared" si="10"/>
        <v>-3.9057994915511927</v>
      </c>
      <c r="AH118" s="14">
        <f t="shared" si="11"/>
        <v>0.05125330762359326</v>
      </c>
      <c r="AI118" s="14">
        <f t="shared" si="12"/>
        <v>0.0002677006106566182</v>
      </c>
      <c r="AJ118" s="15">
        <f t="shared" si="13"/>
        <v>-3.851782368061425</v>
      </c>
      <c r="AL118" s="1">
        <f t="shared" si="14"/>
        <v>-22.961039688965283</v>
      </c>
    </row>
    <row r="119" spans="4:38" ht="12">
      <c r="D119" s="10" t="s">
        <v>21</v>
      </c>
      <c r="E119" s="5">
        <v>4</v>
      </c>
      <c r="F119" s="9"/>
      <c r="G119" s="5">
        <f>B72/B71</f>
        <v>-1.637107141849208</v>
      </c>
      <c r="H119" s="3"/>
      <c r="I119" s="3"/>
      <c r="L119" s="2"/>
      <c r="M119" s="2"/>
      <c r="N119" s="2"/>
      <c r="R119" s="13">
        <v>10.61208</v>
      </c>
      <c r="S119" s="13">
        <f t="shared" si="2"/>
        <v>0.0015119651957962437</v>
      </c>
      <c r="T119" s="13">
        <f t="shared" si="15"/>
        <v>2.2860383178014416E-06</v>
      </c>
      <c r="U119" s="14">
        <f t="shared" si="16"/>
        <v>5.976235723892387E-05</v>
      </c>
      <c r="V119" s="14">
        <f t="shared" si="3"/>
        <v>-38.94985163265291</v>
      </c>
      <c r="W119" s="14">
        <f t="shared" si="4"/>
        <v>-6.843072633877512E-06</v>
      </c>
      <c r="X119" s="14">
        <f t="shared" si="5"/>
        <v>20.189779875690718</v>
      </c>
      <c r="Y119" s="14">
        <f t="shared" si="6"/>
        <v>-0.00022759298885688395</v>
      </c>
      <c r="Z119" s="15">
        <f t="shared" si="7"/>
        <v>-18.76024643066644</v>
      </c>
      <c r="AE119" s="14">
        <f t="shared" si="8"/>
        <v>-1.7030864647438193E-05</v>
      </c>
      <c r="AF119" s="14">
        <f t="shared" si="9"/>
        <v>0.0026139820306312345</v>
      </c>
      <c r="AG119" s="14">
        <f t="shared" si="10"/>
        <v>-3.8952328046055413</v>
      </c>
      <c r="AH119" s="14">
        <f t="shared" si="11"/>
        <v>0.05125605431721425</v>
      </c>
      <c r="AI119" s="14">
        <f t="shared" si="12"/>
        <v>0.000278529374590164</v>
      </c>
      <c r="AJ119" s="15">
        <f t="shared" si="13"/>
        <v>-3.841101269747753</v>
      </c>
      <c r="AL119" s="1">
        <f t="shared" si="14"/>
        <v>-22.601347700414195</v>
      </c>
    </row>
    <row r="120" spans="4:38" ht="12">
      <c r="D120" s="10" t="s">
        <v>22</v>
      </c>
      <c r="E120" s="5">
        <v>5</v>
      </c>
      <c r="F120" s="9"/>
      <c r="G120" s="5">
        <f>B73/B71</f>
        <v>0.7058970526878933</v>
      </c>
      <c r="H120" s="3"/>
      <c r="I120" s="3"/>
      <c r="L120" s="2"/>
      <c r="M120" s="2"/>
      <c r="N120" s="2"/>
      <c r="R120" s="13">
        <v>10.824321600000001</v>
      </c>
      <c r="S120" s="13">
        <f t="shared" si="2"/>
        <v>0.0015422044997121687</v>
      </c>
      <c r="T120" s="13">
        <f t="shared" si="15"/>
        <v>2.3783942475357114E-06</v>
      </c>
      <c r="U120" s="14">
        <f t="shared" si="16"/>
        <v>6.217663389307404E-05</v>
      </c>
      <c r="V120" s="14">
        <f t="shared" si="3"/>
        <v>-38.605140485712965</v>
      </c>
      <c r="W120" s="14">
        <f t="shared" si="4"/>
        <v>-7.11953266474552E-06</v>
      </c>
      <c r="X120" s="14">
        <f t="shared" si="5"/>
        <v>20.193999740148897</v>
      </c>
      <c r="Y120" s="14">
        <f t="shared" si="6"/>
        <v>-0.00023681602630176712</v>
      </c>
      <c r="Z120" s="15">
        <f t="shared" si="7"/>
        <v>-18.41132250448915</v>
      </c>
      <c r="AE120" s="14">
        <f t="shared" si="8"/>
        <v>-1.771907729164468E-05</v>
      </c>
      <c r="AF120" s="14">
        <f t="shared" si="9"/>
        <v>0.0027195793356469267</v>
      </c>
      <c r="AG120" s="14">
        <f t="shared" si="10"/>
        <v>-3.8842792823038934</v>
      </c>
      <c r="AH120" s="14">
        <f t="shared" si="11"/>
        <v>0.05125891198202126</v>
      </c>
      <c r="AI120" s="14">
        <f t="shared" si="12"/>
        <v>0.0002897967476584995</v>
      </c>
      <c r="AJ120" s="15">
        <f t="shared" si="13"/>
        <v>-3.8300287133158584</v>
      </c>
      <c r="AL120" s="1">
        <f t="shared" si="14"/>
        <v>-22.241351217805008</v>
      </c>
    </row>
    <row r="121" spans="3:38" ht="12">
      <c r="C121" t="s">
        <v>29</v>
      </c>
      <c r="D121" s="2" t="s">
        <v>18</v>
      </c>
      <c r="E121" s="2">
        <v>6</v>
      </c>
      <c r="F121" s="3"/>
      <c r="G121" s="2">
        <f>C68/C71</f>
        <v>0.9909586651375955</v>
      </c>
      <c r="H121" s="3"/>
      <c r="I121" s="3"/>
      <c r="R121" s="13">
        <v>11.040808032000001</v>
      </c>
      <c r="S121" s="13">
        <f t="shared" si="2"/>
        <v>0.001573048589706412</v>
      </c>
      <c r="T121" s="13">
        <f t="shared" si="15"/>
        <v>2.474481355322332E-06</v>
      </c>
      <c r="U121" s="14">
        <f t="shared" si="16"/>
        <v>6.468843722373663E-05</v>
      </c>
      <c r="V121" s="14">
        <f t="shared" si="3"/>
        <v>-38.26040268178025</v>
      </c>
      <c r="W121" s="14">
        <f t="shared" si="4"/>
        <v>-7.407161670691664E-06</v>
      </c>
      <c r="X121" s="14">
        <f t="shared" si="5"/>
        <v>20.198077746888288</v>
      </c>
      <c r="Y121" s="14">
        <f t="shared" si="6"/>
        <v>-0.00024641401126501705</v>
      </c>
      <c r="Z121" s="15">
        <f t="shared" si="7"/>
        <v>-18.062514067627674</v>
      </c>
      <c r="AE121" s="14">
        <f t="shared" si="8"/>
        <v>-1.84351073784228E-05</v>
      </c>
      <c r="AF121" s="14">
        <f t="shared" si="9"/>
        <v>0.0028294421480623555</v>
      </c>
      <c r="AG121" s="14">
        <f t="shared" si="10"/>
        <v>-3.872926320500042</v>
      </c>
      <c r="AH121" s="14">
        <f t="shared" si="11"/>
        <v>0.05126188510162777</v>
      </c>
      <c r="AI121" s="14">
        <f t="shared" si="12"/>
        <v>0.00030152054269905193</v>
      </c>
      <c r="AJ121" s="15">
        <f t="shared" si="13"/>
        <v>-3.8185519078150314</v>
      </c>
      <c r="AL121" s="1">
        <f t="shared" si="14"/>
        <v>-21.881065975442706</v>
      </c>
    </row>
    <row r="122" spans="3:38" ht="12.75">
      <c r="C122" s="17" t="s">
        <v>101</v>
      </c>
      <c r="D122" s="2" t="s">
        <v>19</v>
      </c>
      <c r="E122" s="2">
        <v>7</v>
      </c>
      <c r="F122" s="3"/>
      <c r="G122" s="2">
        <f>C69/C71</f>
        <v>-1.981917330275191</v>
      </c>
      <c r="H122" s="3"/>
      <c r="I122" s="3"/>
      <c r="R122" s="13">
        <v>11.261624192640001</v>
      </c>
      <c r="S122" s="13">
        <f t="shared" si="2"/>
        <v>0.0016045095615005403</v>
      </c>
      <c r="T122" s="13">
        <f t="shared" si="15"/>
        <v>2.5744503806302366E-06</v>
      </c>
      <c r="U122" s="14">
        <f t="shared" si="16"/>
        <v>6.730170647628597E-05</v>
      </c>
      <c r="V122" s="14">
        <f t="shared" si="3"/>
        <v>-37.91563729294613</v>
      </c>
      <c r="W122" s="14">
        <f t="shared" si="4"/>
        <v>-7.70641088099211E-06</v>
      </c>
      <c r="X122" s="14">
        <f t="shared" si="5"/>
        <v>20.20198116284027</v>
      </c>
      <c r="Y122" s="14">
        <f t="shared" si="6"/>
        <v>-0.00025640228495404926</v>
      </c>
      <c r="Z122" s="15">
        <f t="shared" si="7"/>
        <v>-17.71385293709522</v>
      </c>
      <c r="AE122" s="14">
        <f t="shared" si="8"/>
        <v>-1.9180079867453514E-05</v>
      </c>
      <c r="AF122" s="14">
        <f t="shared" si="9"/>
        <v>0.002943742742985478</v>
      </c>
      <c r="AG122" s="14">
        <f t="shared" si="10"/>
        <v>-3.8611610230164572</v>
      </c>
      <c r="AH122" s="14">
        <f t="shared" si="11"/>
        <v>0.051264978340835654</v>
      </c>
      <c r="AI122" s="14">
        <f t="shared" si="12"/>
        <v>0.00031371929991053094</v>
      </c>
      <c r="AJ122" s="15">
        <f t="shared" si="13"/>
        <v>-3.806657762712593</v>
      </c>
      <c r="AL122" s="1">
        <f t="shared" si="14"/>
        <v>-21.52051069980781</v>
      </c>
    </row>
    <row r="123" spans="4:38" ht="12">
      <c r="D123" s="2" t="s">
        <v>20</v>
      </c>
      <c r="E123" s="2">
        <v>8</v>
      </c>
      <c r="F123" s="3"/>
      <c r="G123" s="2">
        <f>C70/C71</f>
        <v>0.9909586651375955</v>
      </c>
      <c r="H123" s="3"/>
      <c r="I123" s="3"/>
      <c r="R123" s="13">
        <v>11.4868566764928</v>
      </c>
      <c r="S123" s="13">
        <f t="shared" si="2"/>
        <v>0.0016365997527305512</v>
      </c>
      <c r="T123" s="13">
        <f t="shared" si="15"/>
        <v>2.678458152792648E-06</v>
      </c>
      <c r="U123" s="14">
        <f t="shared" si="16"/>
        <v>7.002053996174595E-05</v>
      </c>
      <c r="V123" s="14">
        <f t="shared" si="3"/>
        <v>-37.57084336622388</v>
      </c>
      <c r="W123" s="14">
        <f t="shared" si="4"/>
        <v>-8.017749749456016E-06</v>
      </c>
      <c r="X123" s="14">
        <f t="shared" si="5"/>
        <v>20.205673632751015</v>
      </c>
      <c r="Y123" s="14">
        <f t="shared" si="6"/>
        <v>-0.0002667968243841301</v>
      </c>
      <c r="Z123" s="15">
        <f t="shared" si="7"/>
        <v>-17.365374527507036</v>
      </c>
      <c r="AE123" s="14">
        <f t="shared" si="8"/>
        <v>-1.9955165257101726E-05</v>
      </c>
      <c r="AF123" s="14">
        <f t="shared" si="9"/>
        <v>0.0030626603512118322</v>
      </c>
      <c r="AG123" s="14">
        <f t="shared" si="10"/>
        <v>-3.848970204167088</v>
      </c>
      <c r="AH123" s="14">
        <f t="shared" si="11"/>
        <v>0.05126819655293957</v>
      </c>
      <c r="AI123" s="14">
        <f t="shared" si="12"/>
        <v>0.0003264123168094102</v>
      </c>
      <c r="AJ123" s="15">
        <f t="shared" si="13"/>
        <v>-3.7943328901113844</v>
      </c>
      <c r="AL123" s="1">
        <f t="shared" si="14"/>
        <v>-21.15970741761842</v>
      </c>
    </row>
    <row r="124" spans="4:38" ht="12">
      <c r="D124" s="11" t="s">
        <v>21</v>
      </c>
      <c r="E124" s="2">
        <v>9</v>
      </c>
      <c r="F124" s="3"/>
      <c r="G124" s="2">
        <f>C72/C71</f>
        <v>-1.98181675292639</v>
      </c>
      <c r="H124" s="3"/>
      <c r="I124" s="3"/>
      <c r="R124" s="13">
        <v>11.716593810022657</v>
      </c>
      <c r="S124" s="13">
        <f t="shared" si="2"/>
        <v>0.001669331747785162</v>
      </c>
      <c r="T124" s="13">
        <f t="shared" si="15"/>
        <v>2.7866678370367532E-06</v>
      </c>
      <c r="U124" s="14">
        <f t="shared" si="16"/>
        <v>7.284920151207075E-05</v>
      </c>
      <c r="V124" s="14">
        <f t="shared" si="3"/>
        <v>-37.22601992357377</v>
      </c>
      <c r="W124" s="14">
        <f t="shared" si="4"/>
        <v>-8.341666696054517E-06</v>
      </c>
      <c r="X124" s="14">
        <f t="shared" si="5"/>
        <v>20.209114849658633</v>
      </c>
      <c r="Y124" s="14">
        <f t="shared" si="6"/>
        <v>-0.0002776142694145278</v>
      </c>
      <c r="Z124" s="15">
        <f t="shared" si="7"/>
        <v>-17.01711818064974</v>
      </c>
      <c r="AE124" s="14">
        <f t="shared" si="8"/>
        <v>-2.076158143182738E-05</v>
      </c>
      <c r="AF124" s="14">
        <f t="shared" si="9"/>
        <v>0.0031863814398818135</v>
      </c>
      <c r="AG124" s="14">
        <f t="shared" si="10"/>
        <v>-3.8363403921821373</v>
      </c>
      <c r="AH124" s="14">
        <f t="shared" si="11"/>
        <v>0.05127154478734042</v>
      </c>
      <c r="AI124" s="14">
        <f t="shared" si="12"/>
        <v>0.00033961967954354577</v>
      </c>
      <c r="AJ124" s="15">
        <f t="shared" si="13"/>
        <v>-3.7815636078568033</v>
      </c>
      <c r="AL124" s="1">
        <f t="shared" si="14"/>
        <v>-20.798681788506542</v>
      </c>
    </row>
    <row r="125" spans="4:38" ht="12">
      <c r="D125" s="11" t="s">
        <v>22</v>
      </c>
      <c r="E125" s="2">
        <v>10</v>
      </c>
      <c r="F125" s="3"/>
      <c r="G125" s="2">
        <f>C73/C71</f>
        <v>0.9820179076239918</v>
      </c>
      <c r="H125" s="3"/>
      <c r="I125" s="3"/>
      <c r="R125" s="13">
        <v>11.95092568622311</v>
      </c>
      <c r="S125" s="13">
        <f t="shared" si="2"/>
        <v>0.0017027183827408655</v>
      </c>
      <c r="T125" s="13">
        <f t="shared" si="15"/>
        <v>2.8992491904529086E-06</v>
      </c>
      <c r="U125" s="14">
        <f t="shared" si="16"/>
        <v>7.579212710950856E-05</v>
      </c>
      <c r="V125" s="14">
        <f t="shared" si="3"/>
        <v>-36.88116596201645</v>
      </c>
      <c r="W125" s="14">
        <f t="shared" si="4"/>
        <v>-8.678669876971412E-06</v>
      </c>
      <c r="X125" s="14">
        <f t="shared" si="5"/>
        <v>20.212260200635058</v>
      </c>
      <c r="Y125" s="14">
        <f t="shared" si="6"/>
        <v>-0.00028887195094995377</v>
      </c>
      <c r="Z125" s="15">
        <f t="shared" si="7"/>
        <v>-16.66912751987512</v>
      </c>
      <c r="AE125" s="14">
        <f t="shared" si="8"/>
        <v>-2.1600595566440006E-05</v>
      </c>
      <c r="AF125" s="14">
        <f t="shared" si="9"/>
        <v>0.003315100004428473</v>
      </c>
      <c r="AG125" s="14">
        <f t="shared" si="10"/>
        <v>-3.823257833599662</v>
      </c>
      <c r="AH125" s="14">
        <f t="shared" si="11"/>
        <v>0.05127502829747144</v>
      </c>
      <c r="AI125" s="14">
        <f t="shared" si="12"/>
        <v>0.0003533622955345095</v>
      </c>
      <c r="AJ125" s="15">
        <f t="shared" si="13"/>
        <v>-3.768335943597794</v>
      </c>
      <c r="AL125" s="1">
        <f t="shared" si="14"/>
        <v>-20.437463463472913</v>
      </c>
    </row>
    <row r="126" spans="3:38" ht="12">
      <c r="C126" t="s">
        <v>30</v>
      </c>
      <c r="D126" s="5" t="s">
        <v>18</v>
      </c>
      <c r="E126" s="5">
        <v>11</v>
      </c>
      <c r="F126" s="9"/>
      <c r="G126" s="5">
        <f>D68/D71</f>
        <v>2.4902825160784268</v>
      </c>
      <c r="R126" s="13">
        <v>12.189944199947572</v>
      </c>
      <c r="S126" s="13">
        <f t="shared" si="2"/>
        <v>0.0017367727503956826</v>
      </c>
      <c r="T126" s="13">
        <f t="shared" si="15"/>
        <v>3.0163788283049097E-06</v>
      </c>
      <c r="U126" s="14">
        <f t="shared" si="16"/>
        <v>7.885393189610568E-05</v>
      </c>
      <c r="V126" s="14">
        <f t="shared" si="3"/>
        <v>-36.53628045384595</v>
      </c>
      <c r="W126" s="14">
        <f t="shared" si="4"/>
        <v>-9.0292879733056E-06</v>
      </c>
      <c r="X126" s="14">
        <f t="shared" si="5"/>
        <v>20.215060386818863</v>
      </c>
      <c r="Y126" s="14">
        <f t="shared" si="6"/>
        <v>-0.0003005879204209805</v>
      </c>
      <c r="Z126" s="15">
        <f t="shared" si="7"/>
        <v>-16.321450830303583</v>
      </c>
      <c r="AE126" s="14">
        <f t="shared" si="8"/>
        <v>-2.247352617246179E-05</v>
      </c>
      <c r="AF126" s="14">
        <f t="shared" si="9"/>
        <v>0.003449017872355853</v>
      </c>
      <c r="AG126" s="14">
        <f t="shared" si="10"/>
        <v>-3.8097084986907035</v>
      </c>
      <c r="AH126" s="14">
        <f t="shared" si="11"/>
        <v>0.05127865254906183</v>
      </c>
      <c r="AI126" s="14">
        <f t="shared" si="12"/>
        <v>0.0003676619273633719</v>
      </c>
      <c r="AJ126" s="15">
        <f t="shared" si="13"/>
        <v>-3.754635639868095</v>
      </c>
      <c r="AL126" s="1">
        <f t="shared" si="14"/>
        <v>-20.076086470171678</v>
      </c>
    </row>
    <row r="127" spans="3:38" ht="12.75">
      <c r="C127" s="17" t="s">
        <v>105</v>
      </c>
      <c r="D127" s="5" t="s">
        <v>19</v>
      </c>
      <c r="E127" s="5">
        <v>12</v>
      </c>
      <c r="F127" s="9"/>
      <c r="G127" s="5">
        <f>D69/D71</f>
        <v>-1.8049599984171143</v>
      </c>
      <c r="R127" s="13">
        <v>12.433743083946524</v>
      </c>
      <c r="S127" s="13">
        <f t="shared" si="2"/>
        <v>0.0017715082054035965</v>
      </c>
      <c r="T127" s="13">
        <f t="shared" si="15"/>
        <v>3.1382405010991407E-06</v>
      </c>
      <c r="U127" s="14">
        <f t="shared" si="16"/>
        <v>8.203941733242459E-05</v>
      </c>
      <c r="V127" s="14">
        <f t="shared" si="3"/>
        <v>-36.19136234695404</v>
      </c>
      <c r="W127" s="14">
        <f t="shared" si="4"/>
        <v>-9.394071026846973E-06</v>
      </c>
      <c r="X127" s="14">
        <f t="shared" si="5"/>
        <v>20.217461016929704</v>
      </c>
      <c r="Y127" s="14">
        <f t="shared" si="6"/>
        <v>-0.0003127809805931747</v>
      </c>
      <c r="Z127" s="15">
        <f t="shared" si="7"/>
        <v>-15.974141465658619</v>
      </c>
      <c r="AE127" s="14">
        <f t="shared" si="8"/>
        <v>-2.3381745165806933E-05</v>
      </c>
      <c r="AF127" s="14">
        <f t="shared" si="9"/>
        <v>0.0035883450191818156</v>
      </c>
      <c r="AG127" s="14">
        <f t="shared" si="10"/>
        <v>-3.7956780879859124</v>
      </c>
      <c r="AH127" s="14">
        <f t="shared" si="11"/>
        <v>0.051282423228698804</v>
      </c>
      <c r="AI127" s="14">
        <f t="shared" si="12"/>
        <v>0.00038254122834047166</v>
      </c>
      <c r="AJ127" s="15">
        <f t="shared" si="13"/>
        <v>-3.740448160254857</v>
      </c>
      <c r="AL127" s="1">
        <f t="shared" si="14"/>
        <v>-19.714589625913476</v>
      </c>
    </row>
    <row r="128" spans="3:38" ht="12">
      <c r="C128" s="16"/>
      <c r="D128" s="5" t="s">
        <v>20</v>
      </c>
      <c r="E128" s="5">
        <v>13</v>
      </c>
      <c r="F128" s="9"/>
      <c r="G128" s="5">
        <f>D70/D71</f>
        <v>1.0490633656278834</v>
      </c>
      <c r="R128" s="13">
        <v>12.682417945625454</v>
      </c>
      <c r="S128" s="13">
        <f t="shared" si="2"/>
        <v>0.0018069383695116681</v>
      </c>
      <c r="T128" s="13">
        <f t="shared" si="15"/>
        <v>3.2650253828472032E-06</v>
      </c>
      <c r="U128" s="14">
        <f t="shared" si="16"/>
        <v>8.535357880035122E-05</v>
      </c>
      <c r="V128" s="14">
        <f t="shared" si="3"/>
        <v>-35.8464105652796</v>
      </c>
      <c r="W128" s="14">
        <f t="shared" si="4"/>
        <v>-9.773591299833129E-06</v>
      </c>
      <c r="X128" s="14">
        <f t="shared" si="5"/>
        <v>20.21940217367866</v>
      </c>
      <c r="Y128" s="14">
        <f t="shared" si="6"/>
        <v>-0.00032547071779021053</v>
      </c>
      <c r="Z128" s="15">
        <f t="shared" si="7"/>
        <v>-15.627258282331233</v>
      </c>
      <c r="AE128" s="14">
        <f t="shared" si="8"/>
        <v>-2.4326679984199018E-05</v>
      </c>
      <c r="AF128" s="14">
        <f t="shared" si="9"/>
        <v>0.0037332998971635334</v>
      </c>
      <c r="AG128" s="14">
        <f t="shared" si="10"/>
        <v>-3.781152039973044</v>
      </c>
      <c r="AH128" s="14">
        <f t="shared" si="11"/>
        <v>0.051286346252748416</v>
      </c>
      <c r="AI128" s="14">
        <f t="shared" si="12"/>
        <v>0.0003980237792831076</v>
      </c>
      <c r="AJ128" s="15">
        <f t="shared" si="13"/>
        <v>-3.725758696723833</v>
      </c>
      <c r="AL128" s="1">
        <f t="shared" si="14"/>
        <v>-19.353016979055067</v>
      </c>
    </row>
    <row r="129" spans="4:38" ht="12">
      <c r="D129" s="10" t="s">
        <v>21</v>
      </c>
      <c r="E129" s="5">
        <v>14</v>
      </c>
      <c r="F129" s="9"/>
      <c r="G129" s="5">
        <f>D72/D71</f>
        <v>0.3614075155407813</v>
      </c>
      <c r="R129" s="13">
        <v>12.936066304537963</v>
      </c>
      <c r="S129" s="13">
        <f t="shared" si="2"/>
        <v>0.0018430771369019015</v>
      </c>
      <c r="T129" s="13">
        <f t="shared" si="15"/>
        <v>3.3969323709742805E-06</v>
      </c>
      <c r="U129" s="14">
        <f t="shared" si="16"/>
        <v>8.880161334445802E-05</v>
      </c>
      <c r="V129" s="14">
        <f t="shared" si="3"/>
        <v>-35.501424009396956</v>
      </c>
      <c r="W129" s="14">
        <f t="shared" si="4"/>
        <v>-1.0168444177338642E-05</v>
      </c>
      <c r="X129" s="14">
        <f t="shared" si="5"/>
        <v>20.220817952784202</v>
      </c>
      <c r="Y129" s="14">
        <f t="shared" si="6"/>
        <v>-0.00033867753547411894</v>
      </c>
      <c r="Z129" s="15">
        <f t="shared" si="7"/>
        <v>-15.280866100979061</v>
      </c>
      <c r="AE129" s="14">
        <f t="shared" si="8"/>
        <v>-2.5309815924856593E-05</v>
      </c>
      <c r="AF129" s="14">
        <f t="shared" si="9"/>
        <v>0.0038841097772035482</v>
      </c>
      <c r="AG129" s="14">
        <f t="shared" si="10"/>
        <v>-3.7661155400355426</v>
      </c>
      <c r="AH129" s="14">
        <f t="shared" si="11"/>
        <v>0.051290427776663705</v>
      </c>
      <c r="AI129" s="14">
        <f t="shared" si="12"/>
        <v>0.00041413412712643094</v>
      </c>
      <c r="AJ129" s="15">
        <f t="shared" si="13"/>
        <v>-3.710552178170474</v>
      </c>
      <c r="AL129" s="1">
        <f t="shared" si="14"/>
        <v>-18.991418279149535</v>
      </c>
    </row>
    <row r="130" spans="4:38" ht="12">
      <c r="D130" s="10" t="s">
        <v>22</v>
      </c>
      <c r="E130" s="5">
        <v>15</v>
      </c>
      <c r="F130" s="9"/>
      <c r="G130" s="5">
        <f>D73/D71</f>
        <v>0.37297836774841425</v>
      </c>
      <c r="R130" s="13">
        <v>13.194787630628722</v>
      </c>
      <c r="S130" s="13">
        <f t="shared" si="2"/>
        <v>0.0018799386796399396</v>
      </c>
      <c r="T130" s="13">
        <f t="shared" si="15"/>
        <v>3.53416839834368E-06</v>
      </c>
      <c r="U130" s="14">
        <f t="shared" si="16"/>
        <v>9.238892787166719E-05</v>
      </c>
      <c r="V130" s="14">
        <f t="shared" si="3"/>
        <v>-35.15640155725997</v>
      </c>
      <c r="W130" s="14">
        <f t="shared" si="4"/>
        <v>-1.0579249092756982E-05</v>
      </c>
      <c r="X130" s="14">
        <f t="shared" si="5"/>
        <v>20.221635974679486</v>
      </c>
      <c r="Y130" s="14">
        <f t="shared" si="6"/>
        <v>-0.00035242268948820765</v>
      </c>
      <c r="Z130" s="15">
        <f t="shared" si="7"/>
        <v>-14.935036195591195</v>
      </c>
      <c r="AE130" s="14">
        <f t="shared" si="8"/>
        <v>-2.6332698432440793E-05</v>
      </c>
      <c r="AF130" s="14">
        <f t="shared" si="9"/>
        <v>0.004041011104597203</v>
      </c>
      <c r="AG130" s="14">
        <f t="shared" si="10"/>
        <v>-3.750553530703016</v>
      </c>
      <c r="AH130" s="14">
        <f t="shared" si="11"/>
        <v>0.05129467420464806</v>
      </c>
      <c r="AI130" s="14">
        <f t="shared" si="12"/>
        <v>0.0004308978250193718</v>
      </c>
      <c r="AJ130" s="15">
        <f t="shared" si="13"/>
        <v>-3.6948132802671836</v>
      </c>
      <c r="AL130" s="1">
        <f t="shared" si="14"/>
        <v>-18.62984947585838</v>
      </c>
    </row>
    <row r="131" spans="3:38" ht="12">
      <c r="C131" t="s">
        <v>31</v>
      </c>
      <c r="D131" s="2" t="s">
        <v>18</v>
      </c>
      <c r="E131" s="2">
        <v>16</v>
      </c>
      <c r="F131" s="3"/>
      <c r="G131" s="2">
        <f>E68/E71</f>
        <v>1.0053338609219835</v>
      </c>
      <c r="R131" s="13">
        <v>13.458683383241297</v>
      </c>
      <c r="S131" s="13">
        <f t="shared" si="2"/>
        <v>0.0019175374532327384</v>
      </c>
      <c r="T131" s="13">
        <f t="shared" si="15"/>
        <v>3.6769487578870634E-06</v>
      </c>
      <c r="U131" s="14">
        <f t="shared" si="16"/>
        <v>9.612114759605106E-05</v>
      </c>
      <c r="V131" s="14">
        <f t="shared" si="3"/>
        <v>-34.81134206511861</v>
      </c>
      <c r="W131" s="14">
        <f t="shared" si="4"/>
        <v>-1.100665050834948E-05</v>
      </c>
      <c r="X131" s="14">
        <f t="shared" si="5"/>
        <v>20.22177686947417</v>
      </c>
      <c r="Y131" s="14">
        <f t="shared" si="6"/>
        <v>-0.00036672832473527706</v>
      </c>
      <c r="Z131" s="15">
        <f t="shared" si="7"/>
        <v>-14.589846809472093</v>
      </c>
      <c r="AE131" s="14">
        <f t="shared" si="8"/>
        <v>-2.7396935571744052E-05</v>
      </c>
      <c r="AF131" s="14">
        <f t="shared" si="9"/>
        <v>0.004204249869047771</v>
      </c>
      <c r="AG131" s="14">
        <f t="shared" si="10"/>
        <v>-3.7344507232845388</v>
      </c>
      <c r="AH131" s="14">
        <f t="shared" si="11"/>
        <v>0.051299092199680985</v>
      </c>
      <c r="AI131" s="14">
        <f t="shared" si="12"/>
        <v>0.0004483414741613956</v>
      </c>
      <c r="AJ131" s="15">
        <f t="shared" si="13"/>
        <v>-3.6785264366772203</v>
      </c>
      <c r="AL131" s="1">
        <f t="shared" si="14"/>
        <v>-18.268373246149313</v>
      </c>
    </row>
    <row r="132" spans="3:38" ht="12.75">
      <c r="C132" s="17" t="s">
        <v>106</v>
      </c>
      <c r="D132" s="2" t="s">
        <v>19</v>
      </c>
      <c r="E132" s="2">
        <v>17</v>
      </c>
      <c r="F132" s="3"/>
      <c r="G132" s="2">
        <f>E69/E71</f>
        <v>-1.9950099075975607</v>
      </c>
      <c r="R132" s="13">
        <v>13.727857050906124</v>
      </c>
      <c r="S132" s="13">
        <f t="shared" si="2"/>
        <v>0.001955888202297393</v>
      </c>
      <c r="T132" s="13">
        <f t="shared" si="15"/>
        <v>3.825497440349616E-06</v>
      </c>
      <c r="U132" s="14">
        <f t="shared" si="16"/>
        <v>0.00010000412484600929</v>
      </c>
      <c r="V132" s="14">
        <f t="shared" si="3"/>
        <v>-34.46624436862761</v>
      </c>
      <c r="W132" s="14">
        <f t="shared" si="4"/>
        <v>-1.1451318920663311E-05</v>
      </c>
      <c r="X132" s="14">
        <f t="shared" si="5"/>
        <v>20.221153736320645</v>
      </c>
      <c r="Y132" s="14">
        <f t="shared" si="6"/>
        <v>-0.00038161751378140707</v>
      </c>
      <c r="Z132" s="15">
        <f t="shared" si="7"/>
        <v>-14.245383697014823</v>
      </c>
      <c r="AE132" s="14">
        <f t="shared" si="8"/>
        <v>-2.8504200543011393E-05</v>
      </c>
      <c r="AF132" s="14">
        <f t="shared" si="9"/>
        <v>0.0043740819896314065</v>
      </c>
      <c r="AG132" s="14">
        <f t="shared" si="10"/>
        <v>-3.71779161095548</v>
      </c>
      <c r="AH132" s="14">
        <f t="shared" si="11"/>
        <v>0.051303688694023464</v>
      </c>
      <c r="AI132" s="14">
        <f t="shared" si="12"/>
        <v>0.0004664927675008812</v>
      </c>
      <c r="AJ132" s="15">
        <f t="shared" si="13"/>
        <v>-3.6616758517048673</v>
      </c>
      <c r="AL132" s="1">
        <f t="shared" si="14"/>
        <v>-17.90705954871969</v>
      </c>
    </row>
    <row r="133" spans="3:38" ht="12.75">
      <c r="C133" s="17"/>
      <c r="D133" s="2" t="s">
        <v>20</v>
      </c>
      <c r="E133" s="2">
        <v>18</v>
      </c>
      <c r="F133" s="3"/>
      <c r="G133" s="2">
        <f>E70/E71</f>
        <v>0.9898360796574813</v>
      </c>
      <c r="R133" s="13">
        <v>14.002414191924247</v>
      </c>
      <c r="S133" s="13">
        <f t="shared" si="2"/>
        <v>0.001995005966343341</v>
      </c>
      <c r="T133" s="13">
        <f t="shared" si="15"/>
        <v>3.980047485679995E-06</v>
      </c>
      <c r="U133" s="14">
        <f t="shared" si="16"/>
        <v>0.0001040439482338229</v>
      </c>
      <c r="V133" s="14">
        <f t="shared" si="3"/>
        <v>-34.12110728416799</v>
      </c>
      <c r="W133" s="14">
        <f t="shared" si="4"/>
        <v>-1.191395191479927E-05</v>
      </c>
      <c r="X133" s="14">
        <f t="shared" si="5"/>
        <v>20.219671579055017</v>
      </c>
      <c r="Y133" s="14">
        <f t="shared" si="6"/>
        <v>-0.0003971142969163566</v>
      </c>
      <c r="Z133" s="15">
        <f t="shared" si="7"/>
        <v>-13.901740689413572</v>
      </c>
      <c r="AE133" s="14">
        <f t="shared" si="8"/>
        <v>-2.965623438910825E-05</v>
      </c>
      <c r="AF133" s="14">
        <f t="shared" si="9"/>
        <v>0.0045507737152234995</v>
      </c>
      <c r="AG133" s="14">
        <f t="shared" si="10"/>
        <v>-3.7005604833679513</v>
      </c>
      <c r="AH133" s="14">
        <f t="shared" si="11"/>
        <v>0.05130847090004664</v>
      </c>
      <c r="AI133" s="14">
        <f t="shared" si="12"/>
        <v>0.000485380535174329</v>
      </c>
      <c r="AJ133" s="15">
        <f t="shared" si="13"/>
        <v>-3.644245514451896</v>
      </c>
      <c r="AL133" s="1">
        <f t="shared" si="14"/>
        <v>-17.545986203865468</v>
      </c>
    </row>
    <row r="134" spans="4:38" ht="12">
      <c r="D134" s="11" t="s">
        <v>21</v>
      </c>
      <c r="E134" s="2">
        <v>19</v>
      </c>
      <c r="F134" s="3"/>
      <c r="G134" s="2">
        <f>E72/E71</f>
        <v>-1.995081918385006</v>
      </c>
      <c r="R134" s="13">
        <v>14.282462475762733</v>
      </c>
      <c r="S134" s="13">
        <f t="shared" si="2"/>
        <v>0.0020349060856702083</v>
      </c>
      <c r="T134" s="13">
        <f t="shared" si="15"/>
        <v>4.140841348616271E-06</v>
      </c>
      <c r="U134" s="14">
        <f t="shared" si="16"/>
        <v>0.00010824695219824321</v>
      </c>
      <c r="V134" s="14">
        <f t="shared" si="3"/>
        <v>-33.77592961040472</v>
      </c>
      <c r="W134" s="14">
        <f t="shared" si="4"/>
        <v>-1.2395275255983051E-05</v>
      </c>
      <c r="X134" s="14">
        <f t="shared" si="5"/>
        <v>20.217226720846867</v>
      </c>
      <c r="Y134" s="14">
        <f t="shared" si="6"/>
        <v>-0.0004132437243029585</v>
      </c>
      <c r="Z134" s="15">
        <f t="shared" si="7"/>
        <v>-13.559020281605214</v>
      </c>
      <c r="AE134" s="14">
        <f t="shared" si="8"/>
        <v>-3.085484866005572E-05</v>
      </c>
      <c r="AF134" s="14">
        <f t="shared" si="9"/>
        <v>0.004734602041018832</v>
      </c>
      <c r="AG134" s="14">
        <f t="shared" si="10"/>
        <v>-3.6827414428532776</v>
      </c>
      <c r="AH134" s="14">
        <f t="shared" si="11"/>
        <v>0.05131344632160406</v>
      </c>
      <c r="AI134" s="14">
        <f t="shared" si="12"/>
        <v>0.0005050347920771969</v>
      </c>
      <c r="AJ134" s="15">
        <f t="shared" si="13"/>
        <v>-3.6262192145472376</v>
      </c>
      <c r="AL134" s="1">
        <f t="shared" si="14"/>
        <v>-17.18523949615245</v>
      </c>
    </row>
    <row r="135" spans="4:38" ht="12">
      <c r="D135" s="11" t="s">
        <v>22</v>
      </c>
      <c r="E135" s="2">
        <v>20</v>
      </c>
      <c r="F135" s="3"/>
      <c r="G135" s="2">
        <f>E73/E71</f>
        <v>0.9950979297920204</v>
      </c>
      <c r="R135" s="13">
        <v>14.568111725277987</v>
      </c>
      <c r="S135" s="13">
        <f t="shared" si="2"/>
        <v>0.0020756042073836124</v>
      </c>
      <c r="T135" s="13">
        <f t="shared" si="15"/>
        <v>4.308131279041406E-06</v>
      </c>
      <c r="U135" s="14">
        <f t="shared" si="16"/>
        <v>0.00011261972689169397</v>
      </c>
      <c r="V135" s="14">
        <f t="shared" si="3"/>
        <v>-33.43071013010524</v>
      </c>
      <c r="W135" s="14">
        <f t="shared" si="4"/>
        <v>-1.2896044036203591E-05</v>
      </c>
      <c r="X135" s="14">
        <f t="shared" si="5"/>
        <v>20.213706201623737</v>
      </c>
      <c r="Y135" s="14">
        <f t="shared" si="6"/>
        <v>-0.00043003190001655867</v>
      </c>
      <c r="Z135" s="15">
        <f t="shared" si="7"/>
        <v>-13.217334236698662</v>
      </c>
      <c r="AE135" s="14">
        <f t="shared" si="8"/>
        <v>-3.210192838309922E-05</v>
      </c>
      <c r="AF135" s="14">
        <f t="shared" si="9"/>
        <v>0.004925855141912905</v>
      </c>
      <c r="AG135" s="14">
        <f t="shared" si="10"/>
        <v>-3.6643184222836567</v>
      </c>
      <c r="AH135" s="14">
        <f t="shared" si="11"/>
        <v>0.05131862276579113</v>
      </c>
      <c r="AI135" s="14">
        <f t="shared" si="12"/>
        <v>0.0005254867873034641</v>
      </c>
      <c r="AJ135" s="15">
        <f t="shared" si="13"/>
        <v>-3.6075805595170323</v>
      </c>
      <c r="AL135" s="1">
        <f t="shared" si="14"/>
        <v>-16.824914796215694</v>
      </c>
    </row>
    <row r="136" spans="3:38" ht="12">
      <c r="C136" t="s">
        <v>32</v>
      </c>
      <c r="D136" s="5" t="s">
        <v>18</v>
      </c>
      <c r="E136" s="5">
        <v>21</v>
      </c>
      <c r="F136" s="9"/>
      <c r="G136" s="5">
        <f>F68/F71</f>
        <v>0.9964581374576779</v>
      </c>
      <c r="R136" s="13">
        <v>14.859473959783546</v>
      </c>
      <c r="S136" s="13">
        <f t="shared" si="2"/>
        <v>0.0021171162915312844</v>
      </c>
      <c r="T136" s="13">
        <f t="shared" si="15"/>
        <v>4.482179717704926E-06</v>
      </c>
      <c r="U136" s="14">
        <f t="shared" si="16"/>
        <v>0.00011716912852577366</v>
      </c>
      <c r="V136" s="14">
        <f t="shared" si="3"/>
        <v>-33.08544761224688</v>
      </c>
      <c r="W136" s="14">
        <f t="shared" si="4"/>
        <v>-1.3417043847496757E-05</v>
      </c>
      <c r="X136" s="14">
        <f t="shared" si="5"/>
        <v>20.208987163245453</v>
      </c>
      <c r="Y136" s="14">
        <f t="shared" si="6"/>
        <v>-0.0004475060280952903</v>
      </c>
      <c r="Z136" s="15">
        <f t="shared" si="7"/>
        <v>-12.87680420294484</v>
      </c>
      <c r="AE136" s="14">
        <f t="shared" si="8"/>
        <v>-3.3399434968828245E-05</v>
      </c>
      <c r="AF136" s="14">
        <f t="shared" si="9"/>
        <v>0.005124832823227621</v>
      </c>
      <c r="AG136" s="14">
        <f t="shared" si="10"/>
        <v>-3.645275204656791</v>
      </c>
      <c r="AH136" s="14">
        <f t="shared" si="11"/>
        <v>0.051324008355209116</v>
      </c>
      <c r="AI136" s="14">
        <f t="shared" si="12"/>
        <v>0.0005467690557949823</v>
      </c>
      <c r="AJ136" s="15">
        <f t="shared" si="13"/>
        <v>-3.588312993857528</v>
      </c>
      <c r="AL136" s="1">
        <f t="shared" si="14"/>
        <v>-16.465117196802368</v>
      </c>
    </row>
    <row r="137" spans="3:38" ht="12.75">
      <c r="C137" s="17" t="s">
        <v>109</v>
      </c>
      <c r="D137" s="5" t="s">
        <v>19</v>
      </c>
      <c r="E137" s="5">
        <v>22</v>
      </c>
      <c r="F137" s="9"/>
      <c r="G137" s="5">
        <f>F69/F71</f>
        <v>-1.9911556398096986</v>
      </c>
      <c r="R137" s="13">
        <v>15.156663438979217</v>
      </c>
      <c r="S137" s="13">
        <f t="shared" si="2"/>
        <v>0.0021594586173619102</v>
      </c>
      <c r="T137" s="13">
        <f t="shared" si="15"/>
        <v>4.663259707931561E-06</v>
      </c>
      <c r="U137" s="14">
        <f t="shared" si="16"/>
        <v>0.00012190229010045073</v>
      </c>
      <c r="V137" s="14">
        <f t="shared" si="3"/>
        <v>-32.74014081444278</v>
      </c>
      <c r="W137" s="14">
        <f t="shared" si="4"/>
        <v>-1.3959092019177888E-05</v>
      </c>
      <c r="X137" s="14">
        <f t="shared" si="5"/>
        <v>20.202936228811026</v>
      </c>
      <c r="Y137" s="14">
        <f t="shared" si="6"/>
        <v>-0.0004656944607788205</v>
      </c>
      <c r="Z137" s="15">
        <f t="shared" si="7"/>
        <v>-12.537562336894446</v>
      </c>
      <c r="AE137" s="14">
        <f t="shared" si="8"/>
        <v>-3.474940936598614E-05</v>
      </c>
      <c r="AF137" s="14">
        <f t="shared" si="9"/>
        <v>0.005331846989584221</v>
      </c>
      <c r="AG137" s="14">
        <f t="shared" si="10"/>
        <v>-3.6255954444651692</v>
      </c>
      <c r="AH137" s="14">
        <f t="shared" si="11"/>
        <v>0.0513296115407158</v>
      </c>
      <c r="AI137" s="14">
        <f t="shared" si="12"/>
        <v>0.0005689154723214074</v>
      </c>
      <c r="AJ137" s="15">
        <f t="shared" si="13"/>
        <v>-3.568399819871914</v>
      </c>
      <c r="AL137" s="1">
        <f t="shared" si="14"/>
        <v>-16.10596215676636</v>
      </c>
    </row>
    <row r="138" spans="1:38" ht="12.75">
      <c r="A138" t="s">
        <v>67</v>
      </c>
      <c r="B138">
        <f>SQRT(10^((D112)/20))</f>
        <v>1.1329689296300816</v>
      </c>
      <c r="C138" s="17"/>
      <c r="D138" s="5" t="s">
        <v>20</v>
      </c>
      <c r="E138" s="5">
        <v>23</v>
      </c>
      <c r="F138" s="9"/>
      <c r="G138" s="5">
        <f>F70/F71</f>
        <v>0.9962268137045276</v>
      </c>
      <c r="R138" s="13">
        <v>15.459796707758802</v>
      </c>
      <c r="S138" s="13">
        <f t="shared" si="2"/>
        <v>0.002202647789709148</v>
      </c>
      <c r="T138" s="13">
        <f t="shared" si="15"/>
        <v>4.8516553239627126E-06</v>
      </c>
      <c r="U138" s="14">
        <f t="shared" si="16"/>
        <v>0.0001268266325595846</v>
      </c>
      <c r="V138" s="14">
        <f t="shared" si="3"/>
        <v>-32.3947884857196</v>
      </c>
      <c r="W138" s="14">
        <f t="shared" si="4"/>
        <v>-1.4523038903924146E-05</v>
      </c>
      <c r="X138" s="14">
        <f t="shared" si="5"/>
        <v>20.195408884092544</v>
      </c>
      <c r="Y138" s="14">
        <f t="shared" si="6"/>
        <v>-0.0004846267490350442</v>
      </c>
      <c r="Z138" s="15">
        <f t="shared" si="7"/>
        <v>-12.19975192478244</v>
      </c>
      <c r="AE138" s="14">
        <f t="shared" si="8"/>
        <v>-3.6153975266017824E-05</v>
      </c>
      <c r="AF138" s="14">
        <f t="shared" si="9"/>
        <v>0.005547222132733509</v>
      </c>
      <c r="AG138" s="14">
        <f t="shared" si="10"/>
        <v>-3.6052626909064784</v>
      </c>
      <c r="AH138" s="14">
        <f t="shared" si="11"/>
        <v>0.05133544111470201</v>
      </c>
      <c r="AI138" s="14">
        <f t="shared" si="12"/>
        <v>0.0005919613076059704</v>
      </c>
      <c r="AJ138" s="15">
        <f t="shared" si="13"/>
        <v>-3.547824220326703</v>
      </c>
      <c r="AL138" s="1">
        <f t="shared" si="14"/>
        <v>-15.747576145109143</v>
      </c>
    </row>
    <row r="139" spans="1:38" ht="12">
      <c r="A139" t="s">
        <v>36</v>
      </c>
      <c r="B139" s="12">
        <f>SQRT(10^((D111)/20))</f>
        <v>0.7269072492825815</v>
      </c>
      <c r="D139" s="10" t="s">
        <v>21</v>
      </c>
      <c r="E139" s="5">
        <v>24</v>
      </c>
      <c r="F139" s="9"/>
      <c r="G139" s="5">
        <f>F72/F71</f>
        <v>-1.9911556398096986</v>
      </c>
      <c r="R139" s="13">
        <v>15.768992641913979</v>
      </c>
      <c r="S139" s="13">
        <f t="shared" si="2"/>
        <v>0.0022467007455033317</v>
      </c>
      <c r="T139" s="13">
        <f t="shared" si="15"/>
        <v>5.047662116602726E-06</v>
      </c>
      <c r="U139" s="14">
        <f t="shared" si="16"/>
        <v>0.00013194987640474665</v>
      </c>
      <c r="V139" s="14">
        <f t="shared" si="3"/>
        <v>-32.04938936968286</v>
      </c>
      <c r="W139" s="14">
        <f t="shared" si="4"/>
        <v>-1.5109769208265789E-05</v>
      </c>
      <c r="X139" s="14">
        <f t="shared" si="5"/>
        <v>20.186248870916103</v>
      </c>
      <c r="Y139" s="14">
        <f t="shared" si="6"/>
        <v>-0.000504333695346304</v>
      </c>
      <c r="Z139" s="15">
        <f t="shared" si="7"/>
        <v>-11.863527992354904</v>
      </c>
      <c r="AE139" s="14">
        <f t="shared" si="8"/>
        <v>-3.761534252078036E-05</v>
      </c>
      <c r="AF139" s="14">
        <f t="shared" si="9"/>
        <v>0.00577129583885494</v>
      </c>
      <c r="AG139" s="14">
        <f t="shared" si="10"/>
        <v>-3.5842604129881934</v>
      </c>
      <c r="AH139" s="14">
        <f t="shared" si="11"/>
        <v>0.051341506224897415</v>
      </c>
      <c r="AI139" s="14">
        <f t="shared" si="12"/>
        <v>0.0006159432870589399</v>
      </c>
      <c r="AJ139" s="15">
        <f t="shared" si="13"/>
        <v>-3.526569282979903</v>
      </c>
      <c r="AL139" s="1">
        <f t="shared" si="14"/>
        <v>-15.390097275334806</v>
      </c>
    </row>
    <row r="140" spans="1:38" ht="12">
      <c r="A140" t="s">
        <v>38</v>
      </c>
      <c r="B140">
        <f>2*PI()*D109/44100</f>
        <v>0.13939107390408204</v>
      </c>
      <c r="D140" s="10" t="s">
        <v>22</v>
      </c>
      <c r="E140" s="5">
        <v>25</v>
      </c>
      <c r="F140" s="9"/>
      <c r="G140" s="5">
        <f>F73/F71</f>
        <v>0.9926849511622055</v>
      </c>
      <c r="R140" s="13">
        <v>16.08437249475226</v>
      </c>
      <c r="S140" s="13">
        <f t="shared" si="2"/>
        <v>0.002291634760413398</v>
      </c>
      <c r="T140" s="13">
        <f t="shared" si="15"/>
        <v>5.251587576869023E-06</v>
      </c>
      <c r="U140" s="14">
        <f t="shared" si="16"/>
        <v>0.00013728005379576302</v>
      </c>
      <c r="V140" s="14">
        <f t="shared" si="3"/>
        <v>-31.70394220810917</v>
      </c>
      <c r="W140" s="14">
        <f t="shared" si="4"/>
        <v>-1.5720203379032682E-05</v>
      </c>
      <c r="X140" s="14">
        <f t="shared" si="5"/>
        <v>20.175287604343225</v>
      </c>
      <c r="Y140" s="14">
        <f t="shared" si="6"/>
        <v>-0.0005248474092809374</v>
      </c>
      <c r="Z140" s="15">
        <f t="shared" si="7"/>
        <v>-11.529057891324808</v>
      </c>
      <c r="AE140" s="14">
        <f t="shared" si="8"/>
        <v>-3.9135810581569785E-05</v>
      </c>
      <c r="AF140" s="14">
        <f t="shared" si="9"/>
        <v>0.006004419316390397</v>
      </c>
      <c r="AG140" s="14">
        <f t="shared" si="10"/>
        <v>-3.5625720265726812</v>
      </c>
      <c r="AH140" s="14">
        <f t="shared" si="11"/>
        <v>0.05134781638871644</v>
      </c>
      <c r="AI140" s="14">
        <f t="shared" si="12"/>
        <v>0.0006408996520193</v>
      </c>
      <c r="AJ140" s="15">
        <f t="shared" si="13"/>
        <v>-3.5046180270261367</v>
      </c>
      <c r="AL140" s="1">
        <f t="shared" si="14"/>
        <v>-15.033675918350944</v>
      </c>
    </row>
    <row r="141" spans="1:38" ht="12">
      <c r="A141" t="s">
        <v>40</v>
      </c>
      <c r="B141">
        <f>COS(B140)</f>
        <v>0.9903007840698194</v>
      </c>
      <c r="C141" t="s">
        <v>28</v>
      </c>
      <c r="D141" s="2" t="s">
        <v>18</v>
      </c>
      <c r="E141" s="2">
        <v>26</v>
      </c>
      <c r="F141" s="3"/>
      <c r="G141" s="2">
        <f>B186/B189</f>
        <v>0.9930482638949484</v>
      </c>
      <c r="R141" s="13">
        <v>16.406059944647303</v>
      </c>
      <c r="S141" s="13">
        <f t="shared" si="2"/>
        <v>0.002337467455621666</v>
      </c>
      <c r="T141" s="13">
        <f t="shared" si="15"/>
        <v>5.463751618373468E-06</v>
      </c>
      <c r="U141" s="14">
        <f t="shared" si="16"/>
        <v>0.00014282552108113578</v>
      </c>
      <c r="V141" s="14">
        <f t="shared" si="3"/>
        <v>-31.358445745008567</v>
      </c>
      <c r="W141" s="14">
        <f t="shared" si="4"/>
        <v>-1.6355299046644234E-05</v>
      </c>
      <c r="X141" s="14">
        <f t="shared" si="5"/>
        <v>20.162343627737968</v>
      </c>
      <c r="Y141" s="14">
        <f t="shared" si="6"/>
        <v>-0.0005462013653669828</v>
      </c>
      <c r="Z141" s="15">
        <f t="shared" si="7"/>
        <v>-11.19652184841393</v>
      </c>
      <c r="AE141" s="14">
        <f t="shared" si="8"/>
        <v>-4.07177722081542E-05</v>
      </c>
      <c r="AF141" s="14">
        <f t="shared" si="9"/>
        <v>0.0062469579450095125</v>
      </c>
      <c r="AG141" s="14">
        <f t="shared" si="10"/>
        <v>-3.5401809234035895</v>
      </c>
      <c r="AH141" s="14">
        <f t="shared" si="11"/>
        <v>0.05135438150825422</v>
      </c>
      <c r="AI141" s="14">
        <f t="shared" si="12"/>
        <v>0.0006668702236254376</v>
      </c>
      <c r="AJ141" s="15">
        <f t="shared" si="13"/>
        <v>-3.4819534314989085</v>
      </c>
      <c r="AL141" s="1">
        <f t="shared" si="14"/>
        <v>-14.678475279912838</v>
      </c>
    </row>
    <row r="142" spans="1:38" ht="12.75">
      <c r="A142" t="s">
        <v>41</v>
      </c>
      <c r="B142">
        <f>SIN(B140)</f>
        <v>0.1389401204501457</v>
      </c>
      <c r="C142" s="17"/>
      <c r="D142" s="2" t="s">
        <v>19</v>
      </c>
      <c r="E142" s="2">
        <v>27</v>
      </c>
      <c r="F142" s="3"/>
      <c r="G142" s="2">
        <f>B187/B189</f>
        <v>-1.9514063844846812</v>
      </c>
      <c r="R142" s="13">
        <v>16.73418114354025</v>
      </c>
      <c r="S142" s="13">
        <f t="shared" si="2"/>
        <v>0.0023842168047340994</v>
      </c>
      <c r="T142" s="13">
        <f t="shared" si="15"/>
        <v>5.684487079191659E-06</v>
      </c>
      <c r="U142" s="14">
        <f t="shared" si="16"/>
        <v>0.00014859497192176718</v>
      </c>
      <c r="V142" s="14">
        <f t="shared" si="3"/>
        <v>-31.012898731203478</v>
      </c>
      <c r="W142" s="14">
        <f t="shared" si="4"/>
        <v>-1.701605253678906E-05</v>
      </c>
      <c r="X142" s="14">
        <f t="shared" si="5"/>
        <v>20.14722212220417</v>
      </c>
      <c r="Y142" s="14">
        <f t="shared" si="6"/>
        <v>-0.0005684304640283244</v>
      </c>
      <c r="Z142" s="15">
        <f t="shared" si="7"/>
        <v>-10.86611346054395</v>
      </c>
      <c r="AE142" s="14">
        <f t="shared" si="8"/>
        <v>-4.236371722043941E-05</v>
      </c>
      <c r="AF142" s="14">
        <f t="shared" si="9"/>
        <v>0.006499291846722599</v>
      </c>
      <c r="AG142" s="14">
        <f t="shared" si="10"/>
        <v>-3.5170705021464954</v>
      </c>
      <c r="AH142" s="14">
        <f t="shared" si="11"/>
        <v>0.05136121188577647</v>
      </c>
      <c r="AI142" s="14">
        <f t="shared" si="12"/>
        <v>0.0006938964695919481</v>
      </c>
      <c r="AJ142" s="15">
        <f t="shared" si="13"/>
        <v>-3.458558465661625</v>
      </c>
      <c r="AL142" s="1">
        <f t="shared" si="14"/>
        <v>-14.324671926205575</v>
      </c>
    </row>
    <row r="143" spans="1:38" ht="12">
      <c r="A143" t="s">
        <v>42</v>
      </c>
      <c r="B143" s="12">
        <f>B142/(2*D110)</f>
        <v>0.0108753311517576</v>
      </c>
      <c r="D143" s="2" t="s">
        <v>20</v>
      </c>
      <c r="E143" s="2">
        <v>28</v>
      </c>
      <c r="F143" s="3"/>
      <c r="G143" s="2">
        <f>B188/B189</f>
        <v>0.9774706086288373</v>
      </c>
      <c r="R143" s="13">
        <v>17.068864766411057</v>
      </c>
      <c r="S143" s="13">
        <f t="shared" si="2"/>
        <v>0.0024319011408287816</v>
      </c>
      <c r="T143" s="13">
        <f t="shared" si="15"/>
        <v>5.914140244007461E-06</v>
      </c>
      <c r="U143" s="14">
        <f t="shared" si="16"/>
        <v>0.00015459745085166787</v>
      </c>
      <c r="V143" s="14">
        <f t="shared" si="3"/>
        <v>-30.66729992947593</v>
      </c>
      <c r="W143" s="14">
        <f t="shared" si="4"/>
        <v>-1.7703500415855444E-05</v>
      </c>
      <c r="X143" s="14">
        <f t="shared" si="5"/>
        <v>20.129714489400527</v>
      </c>
      <c r="Y143" s="14">
        <f t="shared" si="6"/>
        <v>-0.0005915710953274811</v>
      </c>
      <c r="Z143" s="15">
        <f t="shared" si="7"/>
        <v>-10.538040117220294</v>
      </c>
      <c r="AE143" s="14">
        <f t="shared" si="8"/>
        <v>-4.407623651303538E-05</v>
      </c>
      <c r="AF143" s="14">
        <f t="shared" si="9"/>
        <v>0.0067618164799014835</v>
      </c>
      <c r="AG143" s="14">
        <f t="shared" si="10"/>
        <v>-3.4932242014687205</v>
      </c>
      <c r="AH143" s="14">
        <f t="shared" si="11"/>
        <v>0.051368318239951805</v>
      </c>
      <c r="AI143" s="14">
        <f t="shared" si="12"/>
        <v>0.0007220215738357183</v>
      </c>
      <c r="AJ143" s="15">
        <f t="shared" si="13"/>
        <v>-3.4344161214115445</v>
      </c>
      <c r="AL143" s="1">
        <f t="shared" si="14"/>
        <v>-13.972456238631839</v>
      </c>
    </row>
    <row r="144" spans="4:38" ht="12">
      <c r="D144" s="11" t="s">
        <v>21</v>
      </c>
      <c r="E144" s="2">
        <v>29</v>
      </c>
      <c r="F144" s="3"/>
      <c r="G144" s="2">
        <f>B190/B189</f>
        <v>-1.9514063844846812</v>
      </c>
      <c r="R144" s="13">
        <v>17.41024206173928</v>
      </c>
      <c r="S144" s="13">
        <f t="shared" si="2"/>
        <v>0.0024805391636453576</v>
      </c>
      <c r="T144" s="13">
        <f t="shared" si="15"/>
        <v>6.153071387351864E-06</v>
      </c>
      <c r="U144" s="14">
        <f t="shared" si="16"/>
        <v>0.00016084236744973168</v>
      </c>
      <c r="V144" s="14">
        <f t="shared" si="3"/>
        <v>-30.321648120338622</v>
      </c>
      <c r="W144" s="14">
        <f t="shared" si="4"/>
        <v>-1.8418721138502292E-05</v>
      </c>
      <c r="X144" s="14">
        <f t="shared" si="5"/>
        <v>20.109598029321134</v>
      </c>
      <c r="Y144" s="14">
        <f t="shared" si="6"/>
        <v>-0.0006156612058347832</v>
      </c>
      <c r="Z144" s="15">
        <f t="shared" si="7"/>
        <v>-10.212523328577014</v>
      </c>
      <c r="AE144" s="14">
        <f t="shared" si="8"/>
        <v>-4.5858026133771546E-05</v>
      </c>
      <c r="AF144" s="14">
        <f t="shared" si="9"/>
        <v>0.007034943257124837</v>
      </c>
      <c r="AG144" s="14">
        <f t="shared" si="10"/>
        <v>-3.468625535174084</v>
      </c>
      <c r="AH144" s="14">
        <f t="shared" si="11"/>
        <v>0.051375711722659645</v>
      </c>
      <c r="AI144" s="14">
        <f t="shared" si="12"/>
        <v>0.0007512905092212918</v>
      </c>
      <c r="AJ144" s="15">
        <f t="shared" si="13"/>
        <v>-3.409509447711212</v>
      </c>
      <c r="AL144" s="1">
        <f t="shared" si="14"/>
        <v>-13.622032776288226</v>
      </c>
    </row>
    <row r="145" spans="4:38" ht="12">
      <c r="D145" s="11" t="s">
        <v>22</v>
      </c>
      <c r="E145" s="2">
        <v>30</v>
      </c>
      <c r="F145" s="3"/>
      <c r="G145" s="2">
        <f>B191/B189</f>
        <v>0.9705188725237855</v>
      </c>
      <c r="R145" s="13">
        <v>17.758446902974065</v>
      </c>
      <c r="S145" s="13">
        <f t="shared" si="2"/>
        <v>0.002530149946918265</v>
      </c>
      <c r="T145" s="13">
        <f t="shared" si="15"/>
        <v>6.401655338788327E-06</v>
      </c>
      <c r="U145" s="14">
        <f t="shared" si="16"/>
        <v>0.00016733951105507572</v>
      </c>
      <c r="V145" s="14">
        <f t="shared" si="3"/>
        <v>-29.97594210849131</v>
      </c>
      <c r="W145" s="14">
        <f t="shared" si="4"/>
        <v>-1.916283671921093E-05</v>
      </c>
      <c r="X145" s="14">
        <f t="shared" si="5"/>
        <v>20.086635737169132</v>
      </c>
      <c r="Y145" s="14">
        <f t="shared" si="6"/>
        <v>-0.0006407403687802571</v>
      </c>
      <c r="Z145" s="15">
        <f t="shared" si="7"/>
        <v>-9.889798935016621</v>
      </c>
      <c r="AE145" s="14">
        <f t="shared" si="8"/>
        <v>-4.771189156826949E-05</v>
      </c>
      <c r="AF145" s="14">
        <f t="shared" si="9"/>
        <v>0.0073191001879635564</v>
      </c>
      <c r="AG145" s="14">
        <f t="shared" si="10"/>
        <v>-3.4432581293979183</v>
      </c>
      <c r="AH145" s="14">
        <f t="shared" si="11"/>
        <v>0.05138340393651575</v>
      </c>
      <c r="AI145" s="14">
        <f t="shared" si="12"/>
        <v>0.0007817501134823601</v>
      </c>
      <c r="AJ145" s="15">
        <f t="shared" si="13"/>
        <v>-3.383821587051525</v>
      </c>
      <c r="AL145" s="1">
        <f t="shared" si="14"/>
        <v>-13.273620522068146</v>
      </c>
    </row>
    <row r="146" spans="1:38" ht="12">
      <c r="A146" t="s">
        <v>43</v>
      </c>
      <c r="B146" s="12">
        <f>B138^2*(1-B141)/2</f>
        <v>0.0062250469649094385</v>
      </c>
      <c r="C146" t="s">
        <v>4</v>
      </c>
      <c r="D146" s="5" t="s">
        <v>18</v>
      </c>
      <c r="E146" s="5">
        <v>31</v>
      </c>
      <c r="F146" s="9"/>
      <c r="G146" s="5">
        <f>B196</f>
        <v>1.1452686911783592</v>
      </c>
      <c r="R146" s="13">
        <v>18.113615841033546</v>
      </c>
      <c r="S146" s="13">
        <f t="shared" si="2"/>
        <v>0.00258075294585663</v>
      </c>
      <c r="T146" s="13">
        <f t="shared" si="15"/>
        <v>6.660282070931285E-06</v>
      </c>
      <c r="U146" s="14">
        <f t="shared" si="16"/>
        <v>0.00017409906604370917</v>
      </c>
      <c r="V146" s="14">
        <f t="shared" si="3"/>
        <v>-29.630180730028542</v>
      </c>
      <c r="W146" s="14">
        <f t="shared" si="4"/>
        <v>-1.9937014509530115E-05</v>
      </c>
      <c r="X146" s="14">
        <f t="shared" si="5"/>
        <v>20.060576245832067</v>
      </c>
      <c r="Y146" s="14">
        <f t="shared" si="6"/>
        <v>-0.0006668498576587467</v>
      </c>
      <c r="Z146" s="15">
        <f t="shared" si="7"/>
        <v>-9.5701171720026</v>
      </c>
      <c r="AE146" s="14">
        <f t="shared" si="8"/>
        <v>-4.9640752223467643E-05</v>
      </c>
      <c r="AF146" s="14">
        <f t="shared" si="9"/>
        <v>0.007614732547494896</v>
      </c>
      <c r="AG146" s="14">
        <f t="shared" si="10"/>
        <v>-3.417105761856952</v>
      </c>
      <c r="AH146" s="14">
        <f t="shared" si="11"/>
        <v>0.051391406953094076</v>
      </c>
      <c r="AI146" s="14">
        <f t="shared" si="12"/>
        <v>0.0008134491686249135</v>
      </c>
      <c r="AJ146" s="15">
        <f t="shared" si="13"/>
        <v>-3.3573358139399616</v>
      </c>
      <c r="AL146" s="1">
        <f t="shared" si="14"/>
        <v>-12.927452985942562</v>
      </c>
    </row>
    <row r="147" spans="1:38" ht="12">
      <c r="A147" t="s">
        <v>44</v>
      </c>
      <c r="B147" s="12">
        <f>B138^2*(1-B141)</f>
        <v>0.012450093929818877</v>
      </c>
      <c r="C147" t="s">
        <v>94</v>
      </c>
      <c r="D147" s="5" t="s">
        <v>19</v>
      </c>
      <c r="E147" s="5">
        <v>32</v>
      </c>
      <c r="F147" s="9"/>
      <c r="G147" s="5">
        <f>B197</f>
        <v>-1.9592243501297888</v>
      </c>
      <c r="R147" s="13">
        <v>18.475888157854218</v>
      </c>
      <c r="S147" s="13">
        <f t="shared" si="2"/>
        <v>0.002632368004773763</v>
      </c>
      <c r="T147" s="13">
        <f t="shared" si="15"/>
        <v>6.929357311220175E-06</v>
      </c>
      <c r="U147" s="14">
        <f t="shared" si="16"/>
        <v>0.00018113162781574488</v>
      </c>
      <c r="V147" s="14">
        <f t="shared" si="3"/>
        <v>-29.2843628604719</v>
      </c>
      <c r="W147" s="14">
        <f t="shared" si="4"/>
        <v>-2.074246901440091E-05</v>
      </c>
      <c r="X147" s="14">
        <f t="shared" si="5"/>
        <v>20.03115394252859</v>
      </c>
      <c r="Y147" s="14">
        <f t="shared" si="6"/>
        <v>-0.0006940327233948551</v>
      </c>
      <c r="Z147" s="15">
        <f t="shared" si="7"/>
        <v>-9.253742561507906</v>
      </c>
      <c r="AE147" s="14">
        <f t="shared" si="8"/>
        <v>-5.164764610299244E-05</v>
      </c>
      <c r="AF147" s="14">
        <f t="shared" si="9"/>
        <v>0.0079223035716538</v>
      </c>
      <c r="AG147" s="14">
        <f t="shared" si="10"/>
        <v>-3.390152403136213</v>
      </c>
      <c r="AH147" s="14">
        <f t="shared" si="11"/>
        <v>0.05139973333189829</v>
      </c>
      <c r="AI147" s="14">
        <f t="shared" si="12"/>
        <v>0.0008464384837338912</v>
      </c>
      <c r="AJ147" s="15">
        <f t="shared" si="13"/>
        <v>-3.33003557539503</v>
      </c>
      <c r="AL147" s="1">
        <f t="shared" si="14"/>
        <v>-12.583778136902936</v>
      </c>
    </row>
    <row r="148" spans="1:38" ht="12">
      <c r="A148" t="s">
        <v>45</v>
      </c>
      <c r="B148" s="12">
        <f>B138^2*((1-B141)/2)</f>
        <v>0.0062250469649094385</v>
      </c>
      <c r="D148" s="5" t="s">
        <v>20</v>
      </c>
      <c r="E148" s="5">
        <v>33</v>
      </c>
      <c r="F148" s="9"/>
      <c r="G148" s="5">
        <f>B198</f>
        <v>0.8331447178043173</v>
      </c>
      <c r="R148" s="13">
        <v>18.845405921011302</v>
      </c>
      <c r="S148" s="13">
        <f t="shared" si="2"/>
        <v>0.002685015364869238</v>
      </c>
      <c r="T148" s="13">
        <f t="shared" si="15"/>
        <v>7.209303178408696E-06</v>
      </c>
      <c r="U148" s="14">
        <f t="shared" si="16"/>
        <v>0.0001884482193084125</v>
      </c>
      <c r="V148" s="14">
        <f t="shared" si="3"/>
        <v>-28.938487423705766</v>
      </c>
      <c r="W148" s="14">
        <f t="shared" si="4"/>
        <v>-2.158046380795753E-05</v>
      </c>
      <c r="X148" s="14">
        <f t="shared" si="5"/>
        <v>19.99808928975108</v>
      </c>
      <c r="Y148" s="14">
        <f t="shared" si="6"/>
        <v>-0.0007223338755011355</v>
      </c>
      <c r="Z148" s="15">
        <f t="shared" si="7"/>
        <v>-8.940953600074689</v>
      </c>
      <c r="AE148" s="14">
        <f t="shared" si="8"/>
        <v>-5.373573456779468E-05</v>
      </c>
      <c r="AF148" s="14">
        <f t="shared" si="9"/>
        <v>0.008242295180579617</v>
      </c>
      <c r="AG148" s="14">
        <f t="shared" si="10"/>
        <v>-3.362382259982226</v>
      </c>
      <c r="AH148" s="14">
        <f t="shared" si="11"/>
        <v>0.05140839614009707</v>
      </c>
      <c r="AI148" s="14">
        <f t="shared" si="12"/>
        <v>0.0008807709816096576</v>
      </c>
      <c r="AJ148" s="15">
        <f t="shared" si="13"/>
        <v>-3.3019045334145076</v>
      </c>
      <c r="AL148" s="1">
        <f t="shared" si="14"/>
        <v>-12.242858133489197</v>
      </c>
    </row>
    <row r="149" spans="1:38" ht="12">
      <c r="A149" t="s">
        <v>47</v>
      </c>
      <c r="B149">
        <f>1+B143</f>
        <v>1.0108753311517575</v>
      </c>
      <c r="D149" s="10" t="s">
        <v>21</v>
      </c>
      <c r="E149" s="5">
        <v>34</v>
      </c>
      <c r="F149" s="9"/>
      <c r="G149" s="5">
        <f>B199</f>
        <v>-1.9592243501297888</v>
      </c>
      <c r="R149" s="13">
        <v>19.222314039431527</v>
      </c>
      <c r="S149" s="13">
        <f t="shared" si="2"/>
        <v>0.0027387156721666228</v>
      </c>
      <c r="T149" s="13">
        <f t="shared" si="15"/>
        <v>7.500558844767805E-06</v>
      </c>
      <c r="U149" s="14">
        <f t="shared" si="16"/>
        <v>0.00019606030825514154</v>
      </c>
      <c r="V149" s="14">
        <f t="shared" si="3"/>
        <v>-28.592553401902947</v>
      </c>
      <c r="W149" s="14">
        <f t="shared" si="4"/>
        <v>-2.2452313512388855E-05</v>
      </c>
      <c r="X149" s="14">
        <f t="shared" si="5"/>
        <v>19.961089381455793</v>
      </c>
      <c r="Y149" s="14">
        <f t="shared" si="6"/>
        <v>-0.0007518001671869001</v>
      </c>
      <c r="Z149" s="15">
        <f t="shared" si="7"/>
        <v>-8.632042212619599</v>
      </c>
      <c r="AE149" s="14">
        <f t="shared" si="8"/>
        <v>-5.59083074733735E-05</v>
      </c>
      <c r="AF149" s="14">
        <f t="shared" si="9"/>
        <v>0.008575208730938755</v>
      </c>
      <c r="AG149" s="14">
        <f t="shared" si="10"/>
        <v>-3.333779820557993</v>
      </c>
      <c r="AH149" s="14">
        <f t="shared" si="11"/>
        <v>0.05141740897303393</v>
      </c>
      <c r="AI149" s="14">
        <f t="shared" si="12"/>
        <v>0.000916501789134827</v>
      </c>
      <c r="AJ149" s="15">
        <f t="shared" si="13"/>
        <v>-3.272926609372359</v>
      </c>
      <c r="AL149" s="1">
        <f t="shared" si="14"/>
        <v>-11.904968821991957</v>
      </c>
    </row>
    <row r="150" spans="1:38" ht="12">
      <c r="A150" t="s">
        <v>48</v>
      </c>
      <c r="B150" s="12">
        <f>-2*B141</f>
        <v>-1.9806015681396387</v>
      </c>
      <c r="D150" s="10" t="s">
        <v>22</v>
      </c>
      <c r="E150" s="5">
        <v>35</v>
      </c>
      <c r="F150" s="9"/>
      <c r="G150" s="5">
        <f>B200</f>
        <v>0.9784134089826766</v>
      </c>
      <c r="R150" s="13">
        <v>19.606760320220157</v>
      </c>
      <c r="S150" s="13">
        <f t="shared" si="2"/>
        <v>0.002793489985609955</v>
      </c>
      <c r="T150" s="13">
        <f t="shared" si="15"/>
        <v>7.803581225041166E-06</v>
      </c>
      <c r="U150" s="14">
        <f t="shared" si="16"/>
        <v>0.00020397982509834378</v>
      </c>
      <c r="V150" s="14">
        <f t="shared" si="3"/>
        <v>-28.246559846534524</v>
      </c>
      <c r="W150" s="14">
        <f t="shared" si="4"/>
        <v>-2.3359385861176918E-05</v>
      </c>
      <c r="X150" s="14">
        <f t="shared" si="5"/>
        <v>19.919848765299292</v>
      </c>
      <c r="Y150" s="14">
        <f t="shared" si="6"/>
        <v>-0.0007824804848297617</v>
      </c>
      <c r="Z150" s="15">
        <f t="shared" si="7"/>
        <v>-8.327312941280823</v>
      </c>
      <c r="AE150" s="14">
        <f t="shared" si="8"/>
        <v>-5.8168788349632905E-05</v>
      </c>
      <c r="AF150" s="14">
        <f t="shared" si="9"/>
        <v>0.008921565798395648</v>
      </c>
      <c r="AG150" s="14">
        <f t="shared" si="10"/>
        <v>-3.3043299016000773</v>
      </c>
      <c r="AH150" s="14">
        <f t="shared" si="11"/>
        <v>0.051426785975614564</v>
      </c>
      <c r="AI150" s="14">
        <f t="shared" si="12"/>
        <v>0.0009536883319753997</v>
      </c>
      <c r="AJ150" s="15">
        <f t="shared" si="13"/>
        <v>-3.2430860302824414</v>
      </c>
      <c r="AL150" s="1">
        <f t="shared" si="14"/>
        <v>-11.570398971563264</v>
      </c>
    </row>
    <row r="151" spans="1:38" ht="12">
      <c r="A151" t="s">
        <v>46</v>
      </c>
      <c r="B151">
        <f>1-B143</f>
        <v>0.9891246688482423</v>
      </c>
      <c r="C151" t="s">
        <v>5</v>
      </c>
      <c r="D151" s="2" t="s">
        <v>18</v>
      </c>
      <c r="E151" s="2">
        <v>36</v>
      </c>
      <c r="F151" s="3"/>
      <c r="G151" s="2">
        <v>1.029078483581543</v>
      </c>
      <c r="R151" s="13">
        <v>19.998895526624562</v>
      </c>
      <c r="S151" s="13">
        <f t="shared" si="2"/>
        <v>0.002849359785322154</v>
      </c>
      <c r="T151" s="13">
        <f t="shared" si="15"/>
        <v>8.118845693233882E-06</v>
      </c>
      <c r="U151" s="14">
        <f t="shared" si="16"/>
        <v>0.00021221918163405462</v>
      </c>
      <c r="V151" s="14">
        <f t="shared" si="3"/>
        <v>-27.90050589056611</v>
      </c>
      <c r="W151" s="14">
        <f t="shared" si="4"/>
        <v>-2.4303103840495055E-05</v>
      </c>
      <c r="X151" s="14">
        <f t="shared" si="5"/>
        <v>19.874050560328755</v>
      </c>
      <c r="Y151" s="14">
        <f t="shared" si="6"/>
        <v>-0.0008144258419235939</v>
      </c>
      <c r="Z151" s="15">
        <f t="shared" si="7"/>
        <v>-8.027081840001486</v>
      </c>
      <c r="AE151" s="14">
        <f t="shared" si="8"/>
        <v>-6.052073991469342E-05</v>
      </c>
      <c r="AF151" s="14">
        <f t="shared" si="9"/>
        <v>0.009281908991567889</v>
      </c>
      <c r="AG151" s="14">
        <f t="shared" si="10"/>
        <v>-3.2740176974028685</v>
      </c>
      <c r="AH151" s="14">
        <f t="shared" si="11"/>
        <v>0.051436541864493535</v>
      </c>
      <c r="AI151" s="14">
        <f t="shared" si="12"/>
        <v>0.000992390433282253</v>
      </c>
      <c r="AJ151" s="15">
        <f t="shared" si="13"/>
        <v>-3.2123673768534395</v>
      </c>
      <c r="AL151" s="1">
        <f t="shared" si="14"/>
        <v>-11.239449216854926</v>
      </c>
    </row>
    <row r="152" spans="4:38" ht="12">
      <c r="D152" s="2" t="s">
        <v>19</v>
      </c>
      <c r="E152" s="2">
        <v>37</v>
      </c>
      <c r="F152" s="3"/>
      <c r="G152" s="2">
        <v>-1.0814294815063477</v>
      </c>
      <c r="R152" s="13">
        <v>20.398873437157054</v>
      </c>
      <c r="S152" s="13">
        <f t="shared" si="2"/>
        <v>0.002906346981028597</v>
      </c>
      <c r="T152" s="13">
        <f t="shared" si="15"/>
        <v>8.446846828358899E-06</v>
      </c>
      <c r="U152" s="14">
        <f t="shared" si="16"/>
        <v>0.00022079129041330248</v>
      </c>
      <c r="V152" s="14">
        <f t="shared" si="3"/>
        <v>-27.554390761952874</v>
      </c>
      <c r="W152" s="14">
        <f t="shared" si="4"/>
        <v>-2.5284947926529355E-05</v>
      </c>
      <c r="X152" s="14">
        <f t="shared" si="5"/>
        <v>19.823367896626436</v>
      </c>
      <c r="Y152" s="14">
        <f t="shared" si="6"/>
        <v>-0.0008476894778794986</v>
      </c>
      <c r="Z152" s="15">
        <f t="shared" si="7"/>
        <v>-7.731675048461831</v>
      </c>
      <c r="AE152" s="14">
        <f t="shared" si="8"/>
        <v>-6.296786970949597E-05</v>
      </c>
      <c r="AF152" s="14">
        <f t="shared" si="9"/>
        <v>0.009656802798616582</v>
      </c>
      <c r="AG152" s="14">
        <f t="shared" si="10"/>
        <v>-3.242828830538592</v>
      </c>
      <c r="AH152" s="14">
        <f t="shared" si="11"/>
        <v>0.05144669195126639</v>
      </c>
      <c r="AI152" s="14">
        <f t="shared" si="12"/>
        <v>0.0010326704170680046</v>
      </c>
      <c r="AJ152" s="15">
        <f t="shared" si="13"/>
        <v>-3.1807556332413505</v>
      </c>
      <c r="AL152" s="1">
        <f t="shared" si="14"/>
        <v>-10.912430681703182</v>
      </c>
    </row>
    <row r="153" spans="4:38" ht="12">
      <c r="D153" s="2" t="s">
        <v>20</v>
      </c>
      <c r="E153" s="2">
        <v>38</v>
      </c>
      <c r="F153" s="3"/>
      <c r="G153" s="2">
        <v>0.057410240173339844</v>
      </c>
      <c r="R153" s="13">
        <v>20.806850905900195</v>
      </c>
      <c r="S153" s="13">
        <f t="shared" si="2"/>
        <v>0.0029644739206491693</v>
      </c>
      <c r="T153" s="13">
        <f t="shared" si="15"/>
        <v>8.788099190310902E-06</v>
      </c>
      <c r="U153" s="14">
        <f t="shared" si="16"/>
        <v>0.00022970958493573335</v>
      </c>
      <c r="V153" s="14">
        <f t="shared" si="3"/>
        <v>-27.208213798554397</v>
      </c>
      <c r="W153" s="14">
        <f t="shared" si="4"/>
        <v>-2.630645840540069E-05</v>
      </c>
      <c r="X153" s="14">
        <f t="shared" si="5"/>
        <v>19.767465698745596</v>
      </c>
      <c r="Y153" s="14">
        <f t="shared" si="6"/>
        <v>-0.0008823269619782081</v>
      </c>
      <c r="Z153" s="15">
        <f t="shared" si="7"/>
        <v>-7.441427023644248</v>
      </c>
      <c r="AE153" s="14">
        <f t="shared" si="8"/>
        <v>-6.551403611609885E-05</v>
      </c>
      <c r="AF153" s="14">
        <f t="shared" si="9"/>
        <v>0.010046834467623</v>
      </c>
      <c r="AG153" s="14">
        <f t="shared" si="10"/>
        <v>-3.210749404204684</v>
      </c>
      <c r="AH153" s="14">
        <f t="shared" si="11"/>
        <v>0.051457252166454026</v>
      </c>
      <c r="AI153" s="14">
        <f t="shared" si="12"/>
        <v>0.0010745932162308236</v>
      </c>
      <c r="AJ153" s="15">
        <f t="shared" si="13"/>
        <v>-3.148236238390492</v>
      </c>
      <c r="AL153" s="1">
        <f t="shared" si="14"/>
        <v>-10.58966326203474</v>
      </c>
    </row>
    <row r="154" spans="1:38" ht="12">
      <c r="A154" t="s">
        <v>49</v>
      </c>
      <c r="B154" s="12">
        <f>B138^2*(1+B141)/2</f>
        <v>1.2773935485422232</v>
      </c>
      <c r="D154" s="11" t="s">
        <v>21</v>
      </c>
      <c r="E154" s="2">
        <v>39</v>
      </c>
      <c r="F154" s="3"/>
      <c r="G154" s="2">
        <v>-1.319993019104004</v>
      </c>
      <c r="R154" s="13">
        <v>21.2229879240182</v>
      </c>
      <c r="S154" s="13">
        <f t="shared" si="2"/>
        <v>0.0030237633990621523</v>
      </c>
      <c r="T154" s="13">
        <f t="shared" si="15"/>
        <v>9.143138127084842E-06</v>
      </c>
      <c r="U154" s="14">
        <f t="shared" si="16"/>
        <v>0.00023898804058930523</v>
      </c>
      <c r="V154" s="14">
        <f t="shared" si="3"/>
        <v>-26.86197446460234</v>
      </c>
      <c r="W154" s="14">
        <f t="shared" si="4"/>
        <v>-2.7369237789898193E-05</v>
      </c>
      <c r="X154" s="14">
        <f t="shared" si="5"/>
        <v>19.706002828143397</v>
      </c>
      <c r="Y154" s="14">
        <f t="shared" si="6"/>
        <v>-0.0009183963025876096</v>
      </c>
      <c r="Z154" s="15">
        <f t="shared" si="7"/>
        <v>-7.15667841395873</v>
      </c>
      <c r="AE154" s="14">
        <f t="shared" si="8"/>
        <v>-6.816325443281812E-05</v>
      </c>
      <c r="AF154" s="14">
        <f t="shared" si="9"/>
        <v>0.010452614922478176</v>
      </c>
      <c r="AG154" s="14">
        <f t="shared" si="10"/>
        <v>-3.1777660560729046</v>
      </c>
      <c r="AH154" s="14">
        <f t="shared" si="11"/>
        <v>0.05146823908460263</v>
      </c>
      <c r="AI154" s="14">
        <f t="shared" si="12"/>
        <v>0.0011182264855591484</v>
      </c>
      <c r="AJ154" s="15">
        <f t="shared" si="13"/>
        <v>-3.1147951388346975</v>
      </c>
      <c r="AL154" s="1">
        <f t="shared" si="14"/>
        <v>-10.271473552793427</v>
      </c>
    </row>
    <row r="155" spans="1:38" ht="12">
      <c r="A155" t="s">
        <v>50</v>
      </c>
      <c r="B155" s="12">
        <f>B138^2*-(1+B141)</f>
        <v>-2.5547870970844464</v>
      </c>
      <c r="D155" s="11" t="s">
        <v>22</v>
      </c>
      <c r="E155" s="2">
        <v>40</v>
      </c>
      <c r="F155" s="3"/>
      <c r="G155" s="2">
        <v>0.32817935943603516</v>
      </c>
      <c r="R155" s="13">
        <v>21.647447682498562</v>
      </c>
      <c r="S155" s="13">
        <f t="shared" si="2"/>
        <v>0.0030842386670433958</v>
      </c>
      <c r="T155" s="13">
        <f t="shared" si="15"/>
        <v>9.512520614605355E-06</v>
      </c>
      <c r="U155" s="14">
        <f t="shared" si="16"/>
        <v>0.00024864119650302996</v>
      </c>
      <c r="V155" s="14">
        <f t="shared" si="3"/>
        <v>-26.515672368864898</v>
      </c>
      <c r="W155" s="14">
        <f t="shared" si="4"/>
        <v>-2.8474953335688724E-05</v>
      </c>
      <c r="X155" s="14">
        <f t="shared" si="5"/>
        <v>19.638634591094913</v>
      </c>
      <c r="Y155" s="14">
        <f t="shared" si="6"/>
        <v>-0.000955958062228035</v>
      </c>
      <c r="Z155" s="15">
        <f t="shared" si="7"/>
        <v>-6.877773569589046</v>
      </c>
      <c r="AE155" s="14">
        <f t="shared" si="8"/>
        <v>-7.091970337569364E-05</v>
      </c>
      <c r="AF155" s="14">
        <f t="shared" si="9"/>
        <v>0.010874779715301486</v>
      </c>
      <c r="AG155" s="14">
        <f t="shared" si="10"/>
        <v>-3.14386601349608</v>
      </c>
      <c r="AH155" s="14">
        <f t="shared" si="11"/>
        <v>0.05147966995031439</v>
      </c>
      <c r="AI155" s="14">
        <f t="shared" si="12"/>
        <v>0.0011636407199233645</v>
      </c>
      <c r="AJ155" s="15">
        <f t="shared" si="13"/>
        <v>-3.0804188428139163</v>
      </c>
      <c r="AL155" s="1">
        <f t="shared" si="14"/>
        <v>-9.958192412402962</v>
      </c>
    </row>
    <row r="156" spans="1:38" ht="12">
      <c r="A156" t="s">
        <v>51</v>
      </c>
      <c r="B156" s="12">
        <f>B138^2*(1+B141)/2</f>
        <v>1.2773935485422232</v>
      </c>
      <c r="C156" t="s">
        <v>6</v>
      </c>
      <c r="D156" s="5" t="s">
        <v>18</v>
      </c>
      <c r="E156" s="5">
        <v>41</v>
      </c>
      <c r="F156" s="9"/>
      <c r="G156" s="5">
        <v>0.8476543426513672</v>
      </c>
      <c r="R156" s="13">
        <v>22.080396636148535</v>
      </c>
      <c r="S156" s="13">
        <f t="shared" si="2"/>
        <v>0.003145923440384264</v>
      </c>
      <c r="T156" s="13">
        <f t="shared" si="15"/>
        <v>9.896826130484437E-06</v>
      </c>
      <c r="U156" s="14">
        <f t="shared" si="16"/>
        <v>0.0002586841782701299</v>
      </c>
      <c r="V156" s="14">
        <f t="shared" si="3"/>
        <v>-26.169307284664683</v>
      </c>
      <c r="W156" s="14">
        <f t="shared" si="4"/>
        <v>-2.9625339651673244E-05</v>
      </c>
      <c r="X156" s="14">
        <f t="shared" si="5"/>
        <v>19.565015607742367</v>
      </c>
      <c r="Y156" s="14">
        <f t="shared" si="6"/>
        <v>-0.0009950754786132165</v>
      </c>
      <c r="Z156" s="15">
        <f t="shared" si="7"/>
        <v>-6.605057693562308</v>
      </c>
      <c r="AE156" s="14">
        <f t="shared" si="8"/>
        <v>-7.378773175759079E-05</v>
      </c>
      <c r="AF156" s="14">
        <f t="shared" si="9"/>
        <v>0.011313990017072229</v>
      </c>
      <c r="AG156" s="14">
        <f t="shared" si="10"/>
        <v>-3.109037149911188</v>
      </c>
      <c r="AH156" s="14">
        <f t="shared" si="11"/>
        <v>0.051491562705336946</v>
      </c>
      <c r="AI156" s="14">
        <f t="shared" si="12"/>
        <v>0.0012109093778676083</v>
      </c>
      <c r="AJ156" s="15">
        <f t="shared" si="13"/>
        <v>-3.045094475542669</v>
      </c>
      <c r="AL156" s="1">
        <f t="shared" si="14"/>
        <v>-9.650152169104977</v>
      </c>
    </row>
    <row r="157" spans="1:38" ht="12">
      <c r="A157" t="s">
        <v>52</v>
      </c>
      <c r="B157">
        <f>1+B143</f>
        <v>1.0108753311517575</v>
      </c>
      <c r="D157" s="5" t="s">
        <v>19</v>
      </c>
      <c r="E157" s="5">
        <v>42</v>
      </c>
      <c r="F157" s="9"/>
      <c r="G157" s="5">
        <v>-1.3982982635498047</v>
      </c>
      <c r="R157" s="13">
        <v>22.522004568871505</v>
      </c>
      <c r="S157" s="13">
        <f t="shared" si="2"/>
        <v>0.0032088419091919488</v>
      </c>
      <c r="T157" s="13">
        <f t="shared" si="15"/>
        <v>1.0296657563078087E-05</v>
      </c>
      <c r="U157" s="14">
        <f t="shared" si="16"/>
        <v>0.0002691327215167405</v>
      </c>
      <c r="V157" s="14">
        <f t="shared" si="3"/>
        <v>-25.822879171921144</v>
      </c>
      <c r="W157" s="14">
        <f t="shared" si="4"/>
        <v>-3.082220142758274E-05</v>
      </c>
      <c r="X157" s="14">
        <f t="shared" si="5"/>
        <v>19.484803025132507</v>
      </c>
      <c r="Y157" s="14">
        <f t="shared" si="6"/>
        <v>-0.0010358145921358641</v>
      </c>
      <c r="Z157" s="15">
        <f t="shared" si="7"/>
        <v>-6.338873650860684</v>
      </c>
      <c r="AE157" s="14">
        <f t="shared" si="8"/>
        <v>-7.677186543020298E-05</v>
      </c>
      <c r="AF157" s="14">
        <f t="shared" si="9"/>
        <v>0.011770933647937909</v>
      </c>
      <c r="AG157" s="14">
        <f t="shared" si="10"/>
        <v>-3.073268042258263</v>
      </c>
      <c r="AH157" s="14">
        <f t="shared" si="11"/>
        <v>0.0515039360167755</v>
      </c>
      <c r="AI157" s="14">
        <f t="shared" si="12"/>
        <v>0.0012601090111559188</v>
      </c>
      <c r="AJ157" s="15">
        <f t="shared" si="13"/>
        <v>-3.008809835447824</v>
      </c>
      <c r="AL157" s="1">
        <f t="shared" si="14"/>
        <v>-9.347683486308508</v>
      </c>
    </row>
    <row r="158" spans="1:26" ht="12">
      <c r="A158" t="s">
        <v>53</v>
      </c>
      <c r="B158" s="12">
        <f>-2*B141</f>
        <v>-1.9806015681396387</v>
      </c>
      <c r="D158" s="5" t="s">
        <v>20</v>
      </c>
      <c r="E158" s="5">
        <v>43</v>
      </c>
      <c r="F158" s="9"/>
      <c r="G158" s="5">
        <v>0.6428365707397461</v>
      </c>
      <c r="R158" s="13">
        <v>22.972444660248936</v>
      </c>
      <c r="S158" s="13">
        <f t="shared" si="2"/>
        <v>0.0032730187473757884</v>
      </c>
      <c r="T158" s="13">
        <f t="shared" si="15"/>
        <v>1.0712642157267884E-05</v>
      </c>
      <c r="U158" s="14">
        <f t="shared" si="16"/>
        <v>0.0002800031965044525</v>
      </c>
      <c r="V158" s="14">
        <f t="shared" si="3"/>
        <v>-25.476388201401974</v>
      </c>
      <c r="W158" s="14">
        <f t="shared" si="4"/>
        <v>-3.2067416259273784E-05</v>
      </c>
      <c r="X158" s="14">
        <f t="shared" si="5"/>
        <v>19.39766004263042</v>
      </c>
      <c r="Y158" s="14">
        <f t="shared" si="6"/>
        <v>-0.0010782443802526132</v>
      </c>
      <c r="Z158" s="15">
        <f aca="true" t="shared" si="17" ref="Z158:Z221">U158+V158+W158+X158+Y158</f>
        <v>-6.079558467371562</v>
      </c>
    </row>
    <row r="159" spans="1:26" ht="12">
      <c r="A159" t="s">
        <v>54</v>
      </c>
      <c r="B159">
        <f>1-B143</f>
        <v>0.9891246688482423</v>
      </c>
      <c r="D159" s="10" t="s">
        <v>21</v>
      </c>
      <c r="E159" s="5">
        <v>44</v>
      </c>
      <c r="F159" s="9"/>
      <c r="G159" s="5">
        <v>-1.7774972915649414</v>
      </c>
      <c r="R159" s="13">
        <v>23.431893553453914</v>
      </c>
      <c r="S159" s="13">
        <f t="shared" si="2"/>
        <v>0.003338479122323304</v>
      </c>
      <c r="T159" s="13">
        <f t="shared" si="15"/>
        <v>1.1145432498451062E-05</v>
      </c>
      <c r="U159" s="14">
        <f t="shared" si="16"/>
        <v>0.0002913126336601124</v>
      </c>
      <c r="V159" s="14">
        <f t="shared" si="3"/>
        <v>-25.12983478138578</v>
      </c>
      <c r="W159" s="14">
        <f t="shared" si="4"/>
        <v>-3.33629375965927E-05</v>
      </c>
      <c r="X159" s="14">
        <f t="shared" si="5"/>
        <v>19.30325970248653</v>
      </c>
      <c r="Y159" s="14">
        <f t="shared" si="6"/>
        <v>-0.0011224368990312428</v>
      </c>
      <c r="Z159" s="15">
        <f t="shared" si="17"/>
        <v>-5.827439566102221</v>
      </c>
    </row>
    <row r="160" spans="4:26" ht="12">
      <c r="D160" s="10" t="s">
        <v>22</v>
      </c>
      <c r="E160" s="5">
        <v>45</v>
      </c>
      <c r="F160" s="9"/>
      <c r="G160" s="5">
        <v>0.8691482543945312</v>
      </c>
      <c r="R160" s="13">
        <v>23.900531424522992</v>
      </c>
      <c r="S160" s="13">
        <f t="shared" si="2"/>
        <v>0.00340524870476977</v>
      </c>
      <c r="T160" s="13">
        <f t="shared" si="15"/>
        <v>1.1595707536282767E-05</v>
      </c>
      <c r="U160" s="14">
        <f t="shared" si="16"/>
        <v>0.0003030787501572263</v>
      </c>
      <c r="V160" s="14">
        <f t="shared" si="3"/>
        <v>-24.78321958695389</v>
      </c>
      <c r="W160" s="14">
        <f t="shared" si="4"/>
        <v>-3.471079780759112E-05</v>
      </c>
      <c r="X160" s="14">
        <f t="shared" si="5"/>
        <v>19.20128888229003</v>
      </c>
      <c r="Y160" s="14">
        <f t="shared" si="6"/>
        <v>-0.001168467432457021</v>
      </c>
      <c r="Z160" s="15">
        <f t="shared" si="17"/>
        <v>-5.582830804143967</v>
      </c>
    </row>
    <row r="161" spans="3:26" ht="12">
      <c r="C161" t="s">
        <v>7</v>
      </c>
      <c r="D161" s="2" t="s">
        <v>18</v>
      </c>
      <c r="E161" s="2">
        <v>46</v>
      </c>
      <c r="F161" s="3"/>
      <c r="G161" s="2">
        <v>1.0084399188751516</v>
      </c>
      <c r="R161" s="13">
        <v>24.37854205301345</v>
      </c>
      <c r="S161" s="13">
        <f t="shared" si="2"/>
        <v>0.0034733536788651652</v>
      </c>
      <c r="T161" s="13">
        <f t="shared" si="15"/>
        <v>1.2064173649776179E-05</v>
      </c>
      <c r="U161" s="14">
        <f t="shared" si="16"/>
        <v>0.00031531997753830865</v>
      </c>
      <c r="V161" s="14">
        <f t="shared" si="3"/>
        <v>-24.436543592148894</v>
      </c>
      <c r="W161" s="14">
        <f t="shared" si="4"/>
        <v>-3.61131113670865E-05</v>
      </c>
      <c r="X161" s="14">
        <f t="shared" si="5"/>
        <v>19.091452410472954</v>
      </c>
      <c r="Y161" s="14">
        <f t="shared" si="6"/>
        <v>-0.001216414649924502</v>
      </c>
      <c r="Z161" s="15">
        <f t="shared" si="17"/>
        <v>-5.346028389459693</v>
      </c>
    </row>
    <row r="162" spans="1:26" ht="12">
      <c r="A162" t="s">
        <v>55</v>
      </c>
      <c r="B162" s="12">
        <f>B138^2*(B139*((B139+1)+(B139-1)*B141+2*SQRT(B139)*B143))</f>
        <v>1.3762878399579748</v>
      </c>
      <c r="D162" s="2" t="s">
        <v>19</v>
      </c>
      <c r="E162" s="2">
        <v>47</v>
      </c>
      <c r="F162" s="3"/>
      <c r="G162" s="2">
        <v>-1.994599000969469</v>
      </c>
      <c r="R162" s="13">
        <v>24.86611289407372</v>
      </c>
      <c r="S162" s="13">
        <f t="shared" si="2"/>
        <v>0.003542820752442468</v>
      </c>
      <c r="T162" s="13">
        <f t="shared" si="15"/>
        <v>1.2551565755431468E-05</v>
      </c>
      <c r="U162" s="14">
        <f t="shared" si="16"/>
        <v>0.0003280554904847577</v>
      </c>
      <c r="V162" s="14">
        <f t="shared" si="3"/>
        <v>-24.089808105256836</v>
      </c>
      <c r="W162" s="14">
        <f t="shared" si="4"/>
        <v>-3.757207817489672E-05</v>
      </c>
      <c r="X162" s="14">
        <f t="shared" si="5"/>
        <v>18.97347721198814</v>
      </c>
      <c r="Y162" s="14">
        <f t="shared" si="6"/>
        <v>-0.0012663607724192616</v>
      </c>
      <c r="Z162" s="15">
        <f t="shared" si="17"/>
        <v>-5.1173067706288045</v>
      </c>
    </row>
    <row r="163" spans="1:26" ht="12">
      <c r="A163" t="s">
        <v>56</v>
      </c>
      <c r="B163" s="12">
        <f>B138^2*(-2*B139*((B139-1)+(B139+1)*B141))</f>
        <v>-2.6817689813209373</v>
      </c>
      <c r="D163" s="2" t="s">
        <v>20</v>
      </c>
      <c r="E163" s="2">
        <v>48</v>
      </c>
      <c r="F163" s="3"/>
      <c r="G163" s="2">
        <v>0.9896845435970368</v>
      </c>
      <c r="R163" s="13">
        <v>25.363435151955194</v>
      </c>
      <c r="S163" s="13">
        <f t="shared" si="2"/>
        <v>0.0036136771674913177</v>
      </c>
      <c r="T163" s="13">
        <f t="shared" si="15"/>
        <v>1.3058648460131697E-05</v>
      </c>
      <c r="U163" s="14">
        <f t="shared" si="16"/>
        <v>0.000341305236688072</v>
      </c>
      <c r="V163" s="14">
        <f t="shared" si="3"/>
        <v>-23.743014807491846</v>
      </c>
      <c r="W163" s="14">
        <f t="shared" si="4"/>
        <v>-3.9089987001972304E-05</v>
      </c>
      <c r="X163" s="14">
        <f t="shared" si="5"/>
        <v>18.847116379899845</v>
      </c>
      <c r="Y163" s="14">
        <f t="shared" si="6"/>
        <v>-0.0013183917480787954</v>
      </c>
      <c r="Z163" s="15">
        <f t="shared" si="17"/>
        <v>-4.896914604090394</v>
      </c>
    </row>
    <row r="164" spans="1:26" ht="12">
      <c r="A164" t="s">
        <v>57</v>
      </c>
      <c r="B164" s="12">
        <f>B138^2*(B139*((B139+1)+(B139-1)*B141-2*SQRT(B139)*B143))</f>
        <v>1.3416813954902997</v>
      </c>
      <c r="D164" s="11" t="s">
        <v>21</v>
      </c>
      <c r="E164" s="2">
        <v>49</v>
      </c>
      <c r="F164" s="3"/>
      <c r="G164" s="2">
        <v>-1.99459900096947</v>
      </c>
      <c r="R164" s="13">
        <v>25.8707038549943</v>
      </c>
      <c r="S164" s="13">
        <f t="shared" si="2"/>
        <v>0.0036859507108411445</v>
      </c>
      <c r="T164" s="13">
        <f t="shared" si="15"/>
        <v>1.3586217260614184E-05</v>
      </c>
      <c r="U164" s="14">
        <f t="shared" si="16"/>
        <v>0.0003550899679751751</v>
      </c>
      <c r="V164" s="14">
        <f t="shared" si="3"/>
        <v>-23.396165795384917</v>
      </c>
      <c r="W164" s="14">
        <f t="shared" si="4"/>
        <v>-4.066921908929544E-05</v>
      </c>
      <c r="X164" s="14">
        <f t="shared" si="5"/>
        <v>18.712153061009346</v>
      </c>
      <c r="Y164" s="14">
        <f t="shared" si="6"/>
        <v>-0.001372597437459433</v>
      </c>
      <c r="Z164" s="15">
        <f t="shared" si="17"/>
        <v>-4.685070911064145</v>
      </c>
    </row>
    <row r="165" spans="1:26" ht="12">
      <c r="A165" t="s">
        <v>58</v>
      </c>
      <c r="B165">
        <f>(B139+1)-(B139-1)*B141+2*SQRT(B139)*B143</f>
        <v>2.015895580251362</v>
      </c>
      <c r="D165" s="11" t="s">
        <v>22</v>
      </c>
      <c r="E165" s="2">
        <v>50</v>
      </c>
      <c r="F165" s="3"/>
      <c r="G165" s="2">
        <v>0.998124462472188</v>
      </c>
      <c r="R165" s="13">
        <v>26.388117932094186</v>
      </c>
      <c r="S165" s="13">
        <f t="shared" si="2"/>
        <v>0.003759669725057967</v>
      </c>
      <c r="T165" s="13">
        <f t="shared" si="15"/>
        <v>1.4135099791398893E-05</v>
      </c>
      <c r="U165" s="14">
        <f t="shared" si="16"/>
        <v>0.0003694312726274518</v>
      </c>
      <c r="V165" s="14">
        <f t="shared" si="3"/>
        <v>-23.04926362720309</v>
      </c>
      <c r="W165" s="14">
        <f t="shared" si="4"/>
        <v>-4.231225187201204E-05</v>
      </c>
      <c r="X165" s="14">
        <f t="shared" si="5"/>
        <v>18.568404040774013</v>
      </c>
      <c r="Y165" s="14">
        <f t="shared" si="6"/>
        <v>-0.0014290718095608668</v>
      </c>
      <c r="Z165" s="15">
        <f t="shared" si="17"/>
        <v>-4.481961539217881</v>
      </c>
    </row>
    <row r="166" spans="1:26" ht="12">
      <c r="A166" t="s">
        <v>59</v>
      </c>
      <c r="B166" s="12">
        <f>2*((B139-1)-(B139+1)*B141)</f>
        <v>-3.9665007073956273</v>
      </c>
      <c r="R166" s="13">
        <v>26.91588029073607</v>
      </c>
      <c r="S166" s="13">
        <f t="shared" si="2"/>
        <v>0.0038348631195591265</v>
      </c>
      <c r="T166" s="13">
        <f t="shared" si="15"/>
        <v>1.4706157123131307E-05</v>
      </c>
      <c r="U166" s="14">
        <f t="shared" si="16"/>
        <v>0.00038435160901428844</v>
      </c>
      <c r="V166" s="14">
        <f t="shared" si="3"/>
        <v>-22.702311373751726</v>
      </c>
      <c r="W166" s="14">
        <f t="shared" si="4"/>
        <v>-4.402166287764686E-05</v>
      </c>
      <c r="X166" s="14">
        <f t="shared" si="5"/>
        <v>18.415722915400934</v>
      </c>
      <c r="Y166" s="14">
        <f t="shared" si="6"/>
        <v>-0.001487913148913833</v>
      </c>
      <c r="Z166" s="15">
        <f t="shared" si="17"/>
        <v>-4.287736041553568</v>
      </c>
    </row>
    <row r="167" spans="1:26" ht="12">
      <c r="A167" t="s">
        <v>60</v>
      </c>
      <c r="B167">
        <f>(B139+1)-(B139-1)*B141-2*SQRT(B139)*B143</f>
        <v>1.978806848632287</v>
      </c>
      <c r="R167" s="13">
        <v>27.45419789655079</v>
      </c>
      <c r="S167" s="13">
        <f t="shared" si="2"/>
        <v>0.003911560381950309</v>
      </c>
      <c r="T167" s="13">
        <f t="shared" si="15"/>
        <v>1.53002851133764E-05</v>
      </c>
      <c r="U167" s="14">
        <f t="shared" si="16"/>
        <v>0.000399874340597961</v>
      </c>
      <c r="V167" s="14">
        <f t="shared" si="3"/>
        <v>-22.35531267394063</v>
      </c>
      <c r="W167" s="14">
        <f t="shared" si="4"/>
        <v>-4.580013376198622E-05</v>
      </c>
      <c r="X167" s="14">
        <f t="shared" si="5"/>
        <v>18.25400274749063</v>
      </c>
      <c r="Y167" s="14">
        <f t="shared" si="6"/>
        <v>-0.0015492242747257023</v>
      </c>
      <c r="Z167" s="15">
        <f t="shared" si="17"/>
        <v>-4.10250507651789</v>
      </c>
    </row>
    <row r="168" spans="18:26" ht="12">
      <c r="R168" s="13">
        <v>28.00328185448181</v>
      </c>
      <c r="S168" s="13">
        <f t="shared" si="2"/>
        <v>0.003989791589589315</v>
      </c>
      <c r="T168" s="13">
        <f t="shared" si="15"/>
        <v>1.591841581198265E-05</v>
      </c>
      <c r="U168" s="14">
        <f t="shared" si="16"/>
        <v>0.0004160237722743432</v>
      </c>
      <c r="V168" s="14">
        <f t="shared" si="3"/>
        <v>-22.008271795524138</v>
      </c>
      <c r="W168" s="14">
        <f t="shared" si="4"/>
        <v>-4.7650454514602814E-05</v>
      </c>
      <c r="X168" s="14">
        <f t="shared" si="5"/>
        <v>18.08317811591735</v>
      </c>
      <c r="Y168" s="14">
        <f t="shared" si="6"/>
        <v>-0.0016131127728939987</v>
      </c>
      <c r="Z168" s="15">
        <f t="shared" si="17"/>
        <v>-3.926338419061924</v>
      </c>
    </row>
    <row r="169" spans="18:26" ht="12">
      <c r="R169" s="13">
        <v>28.563347491571445</v>
      </c>
      <c r="S169" s="13">
        <f t="shared" si="2"/>
        <v>0.004069587421381102</v>
      </c>
      <c r="T169" s="13">
        <f t="shared" si="15"/>
        <v>1.6561518923220396E-05</v>
      </c>
      <c r="U169" s="14">
        <f t="shared" si="16"/>
        <v>0.0004328251882448342</v>
      </c>
      <c r="V169" s="14">
        <f t="shared" si="3"/>
        <v>-21.661193701457407</v>
      </c>
      <c r="W169" s="14">
        <f t="shared" si="4"/>
        <v>-4.957552784201624E-05</v>
      </c>
      <c r="X169" s="14">
        <f t="shared" si="5"/>
        <v>17.90322649023595</v>
      </c>
      <c r="Y169" s="14">
        <f t="shared" si="6"/>
        <v>-0.001679691241562864</v>
      </c>
      <c r="Z169" s="15">
        <f t="shared" si="17"/>
        <v>-3.759263652802616</v>
      </c>
    </row>
    <row r="170" spans="1:26" ht="12">
      <c r="A170" t="s">
        <v>61</v>
      </c>
      <c r="B170" s="12">
        <f>B138^2*(B139*((B139+1)-(B139-1)*B141+2*SQRT(B139)*B143))</f>
        <v>1.8809750402658822</v>
      </c>
      <c r="R170" s="13">
        <v>29.134614441402874</v>
      </c>
      <c r="S170" s="13">
        <f t="shared" si="2"/>
        <v>0.0041509791698087235</v>
      </c>
      <c r="T170" s="13">
        <f t="shared" si="15"/>
        <v>1.7230603326988157E-05</v>
      </c>
      <c r="U170" s="14">
        <f t="shared" si="16"/>
        <v>0.0004503048913555574</v>
      </c>
      <c r="V170" s="14">
        <f t="shared" si="3"/>
        <v>-21.314084122343388</v>
      </c>
      <c r="W170" s="14">
        <f t="shared" si="4"/>
        <v>-5.157837371694285E-05</v>
      </c>
      <c r="X170" s="14">
        <f t="shared" si="5"/>
        <v>17.714168883808753</v>
      </c>
      <c r="Y170" s="14">
        <f t="shared" si="6"/>
        <v>-0.0017490775514446</v>
      </c>
      <c r="Z170" s="15">
        <f t="shared" si="17"/>
        <v>-3.601265589568442</v>
      </c>
    </row>
    <row r="171" spans="1:26" ht="12">
      <c r="A171" t="s">
        <v>62</v>
      </c>
      <c r="B171" s="12">
        <f>B138^2*(2*B139*((B139-1)-(B139+1)*B141))</f>
        <v>-3.701029408913056</v>
      </c>
      <c r="R171" s="13">
        <v>29.71730673023093</v>
      </c>
      <c r="S171" s="13">
        <f t="shared" si="2"/>
        <v>0.004233998753204898</v>
      </c>
      <c r="T171" s="13">
        <f t="shared" si="15"/>
        <v>1.792671866147312E-05</v>
      </c>
      <c r="U171" s="14">
        <f t="shared" si="16"/>
        <v>0.0004684902439997529</v>
      </c>
      <c r="V171" s="14">
        <f t="shared" si="3"/>
        <v>-20.966949635480404</v>
      </c>
      <c r="W171" s="14">
        <f t="shared" si="4"/>
        <v>-5.36621341167276E-05</v>
      </c>
      <c r="X171" s="14">
        <f t="shared" si="5"/>
        <v>17.5160697666698</v>
      </c>
      <c r="Y171" s="14">
        <f t="shared" si="6"/>
        <v>-0.0018213951217163071</v>
      </c>
      <c r="Z171" s="15">
        <f t="shared" si="17"/>
        <v>-3.4522864358224368</v>
      </c>
    </row>
    <row r="172" spans="1:26" ht="12">
      <c r="A172" t="s">
        <v>63</v>
      </c>
      <c r="B172" s="12">
        <f>B138^2*(B139*((B139+1)-(B139-1)*B141-2*SQRT(B139)*B143))</f>
        <v>1.8463685957982072</v>
      </c>
      <c r="R172" s="13">
        <v>30.31165286483555</v>
      </c>
      <c r="S172" s="13">
        <f t="shared" si="2"/>
        <v>0.004318678728268997</v>
      </c>
      <c r="T172" s="13">
        <f t="shared" si="15"/>
        <v>1.8650956969748043E-05</v>
      </c>
      <c r="U172" s="14">
        <f t="shared" si="16"/>
        <v>0.0004874097106828401</v>
      </c>
      <c r="V172" s="14">
        <f t="shared" si="3"/>
        <v>-20.619797751056026</v>
      </c>
      <c r="W172" s="14">
        <f t="shared" si="4"/>
        <v>-5.58300779491816E-05</v>
      </c>
      <c r="X172" s="14">
        <f t="shared" si="5"/>
        <v>17.309036247226032</v>
      </c>
      <c r="Y172" s="14">
        <f t="shared" si="6"/>
        <v>-0.001896773212685332</v>
      </c>
      <c r="Z172" s="15">
        <f t="shared" si="17"/>
        <v>-3.3122266974099475</v>
      </c>
    </row>
    <row r="173" spans="1:26" ht="12">
      <c r="A173" t="s">
        <v>64</v>
      </c>
      <c r="B173">
        <f>(B139+1)+(B139-1)*B141+2*SQRT(B139)*B143</f>
        <v>1.475007649932876</v>
      </c>
      <c r="R173" s="13">
        <v>30.917885922132264</v>
      </c>
      <c r="S173" s="13">
        <f t="shared" si="2"/>
        <v>0.004405052302834377</v>
      </c>
      <c r="T173" s="13">
        <f t="shared" si="15"/>
        <v>1.940445441288768E-05</v>
      </c>
      <c r="U173" s="14">
        <f t="shared" si="16"/>
        <v>0.0005070929022714665</v>
      </c>
      <c r="V173" s="14">
        <f t="shared" si="3"/>
        <v>-20.272637006070624</v>
      </c>
      <c r="W173" s="14">
        <f t="shared" si="4"/>
        <v>-5.808560618625336E-05</v>
      </c>
      <c r="X173" s="14">
        <f t="shared" si="5"/>
        <v>17.093216559458014</v>
      </c>
      <c r="Y173" s="14">
        <f t="shared" si="6"/>
        <v>-0.001975347236481184</v>
      </c>
      <c r="Z173" s="15">
        <f t="shared" si="17"/>
        <v>-3.180946786553008</v>
      </c>
    </row>
    <row r="174" spans="1:26" ht="12">
      <c r="A174" t="s">
        <v>65</v>
      </c>
      <c r="B174" s="12">
        <f>-2*((B139-1)+(B139+1)*B141)</f>
        <v>-2.874129704525954</v>
      </c>
      <c r="R174" s="13">
        <v>31.53624364057491</v>
      </c>
      <c r="S174" s="13">
        <f t="shared" si="2"/>
        <v>0.004493153348891064</v>
      </c>
      <c r="T174" s="13">
        <f t="shared" si="15"/>
        <v>2.0188393052291727E-05</v>
      </c>
      <c r="U174" s="14">
        <f t="shared" si="16"/>
        <v>0.0005275706219904919</v>
      </c>
      <c r="V174" s="14">
        <f t="shared" si="3"/>
        <v>-19.92547706661209</v>
      </c>
      <c r="W174" s="14">
        <f t="shared" si="4"/>
        <v>-6.043225719487566E-05</v>
      </c>
      <c r="X174" s="14">
        <f t="shared" si="5"/>
        <v>16.868797917595586</v>
      </c>
      <c r="Y174" s="14">
        <f t="shared" si="6"/>
        <v>-0.002057259086846841</v>
      </c>
      <c r="Z174" s="15">
        <f t="shared" si="17"/>
        <v>-3.0582692697385525</v>
      </c>
    </row>
    <row r="175" spans="1:26" ht="12">
      <c r="A175" t="s">
        <v>66</v>
      </c>
      <c r="B175">
        <f>(B139+1)+(B139-1)*B141-2*SQRT(B139)*B143</f>
        <v>1.4379189183138006</v>
      </c>
      <c r="R175" s="13">
        <v>32.16696851338641</v>
      </c>
      <c r="S175" s="13">
        <f t="shared" si="2"/>
        <v>0.004583016415868886</v>
      </c>
      <c r="T175" s="13">
        <f t="shared" si="15"/>
        <v>2.1004002704009933E-05</v>
      </c>
      <c r="U175" s="14">
        <f t="shared" si="16"/>
        <v>0.0005488749133348847</v>
      </c>
      <c r="V175" s="14">
        <f t="shared" si="3"/>
        <v>-19.57832883914277</v>
      </c>
      <c r="W175" s="14">
        <f t="shared" si="4"/>
        <v>-6.287371228719252E-05</v>
      </c>
      <c r="X175" s="14">
        <f t="shared" si="5"/>
        <v>16.63600382179014</v>
      </c>
      <c r="Y175" s="14">
        <f t="shared" si="6"/>
        <v>-0.0021426574897631667</v>
      </c>
      <c r="Z175" s="15">
        <f t="shared" si="17"/>
        <v>-2.943981673641346</v>
      </c>
    </row>
    <row r="176" spans="18:26" ht="12">
      <c r="R176" s="13">
        <v>32.81030788365414</v>
      </c>
      <c r="S176" s="13">
        <f t="shared" si="2"/>
        <v>0.004674676744186264</v>
      </c>
      <c r="T176" s="13">
        <f t="shared" si="15"/>
        <v>2.1852562867977945E-05</v>
      </c>
      <c r="U176" s="14">
        <f t="shared" si="16"/>
        <v>0.0005710391097224488</v>
      </c>
      <c r="V176" s="14">
        <f t="shared" si="3"/>
        <v>-19.231204591498624</v>
      </c>
      <c r="W176" s="14">
        <f t="shared" si="4"/>
        <v>-6.54138014972716E-05</v>
      </c>
      <c r="X176" s="14">
        <f t="shared" si="5"/>
        <v>16.395090914919052</v>
      </c>
      <c r="Y176" s="14">
        <f t="shared" si="6"/>
        <v>-0.0022316983761072606</v>
      </c>
      <c r="Z176" s="15">
        <f t="shared" si="17"/>
        <v>-2.837839749647454</v>
      </c>
    </row>
    <row r="177" spans="18:26" ht="12">
      <c r="R177" s="13">
        <v>33.46651404132722</v>
      </c>
      <c r="S177" s="13">
        <f t="shared" si="2"/>
        <v>0.004768170279069989</v>
      </c>
      <c r="T177" s="13">
        <f t="shared" si="15"/>
        <v>2.273540473519009E-05</v>
      </c>
      <c r="U177" s="14">
        <f t="shared" si="16"/>
        <v>0.0005940978863385737</v>
      </c>
      <c r="V177" s="14">
        <f t="shared" si="3"/>
        <v>-18.884118084339676</v>
      </c>
      <c r="W177" s="14">
        <f t="shared" si="4"/>
        <v>-6.80565095887431E-05</v>
      </c>
      <c r="X177" s="14">
        <f t="shared" si="5"/>
        <v>16.146345501611776</v>
      </c>
      <c r="Y177" s="14">
        <f t="shared" si="6"/>
        <v>-0.0023245452781850418</v>
      </c>
      <c r="Z177" s="15">
        <f t="shared" si="17"/>
        <v>-2.739571086629333</v>
      </c>
    </row>
    <row r="178" spans="1:26" ht="12">
      <c r="A178" t="s">
        <v>68</v>
      </c>
      <c r="B178" s="12">
        <v>1</v>
      </c>
      <c r="R178" s="13">
        <v>34.135844322153766</v>
      </c>
      <c r="S178" s="13">
        <f t="shared" si="2"/>
        <v>0.004863533684651389</v>
      </c>
      <c r="T178" s="13">
        <f t="shared" si="15"/>
        <v>2.3653913275957232E-05</v>
      </c>
      <c r="U178" s="14">
        <f t="shared" si="16"/>
        <v>0.0006180873138603715</v>
      </c>
      <c r="V178" s="14">
        <f t="shared" si="3"/>
        <v>-18.537084713828477</v>
      </c>
      <c r="W178" s="14">
        <f t="shared" si="4"/>
        <v>-7.080598230579938E-05</v>
      </c>
      <c r="X178" s="14">
        <f t="shared" si="5"/>
        <v>15.890079845630396</v>
      </c>
      <c r="Y178" s="14">
        <f t="shared" si="6"/>
        <v>-0.00242136975189311</v>
      </c>
      <c r="Z178" s="15">
        <f t="shared" si="17"/>
        <v>-2.648878956618418</v>
      </c>
    </row>
    <row r="179" spans="1:26" ht="12">
      <c r="A179" t="s">
        <v>69</v>
      </c>
      <c r="B179" s="12">
        <f>-2*B141</f>
        <v>-1.9806015681396387</v>
      </c>
      <c r="R179" s="13">
        <v>34.81856120859684</v>
      </c>
      <c r="S179" s="13">
        <f t="shared" si="2"/>
        <v>0.004960804358344417</v>
      </c>
      <c r="T179" s="13">
        <f t="shared" si="15"/>
        <v>2.46095294125252E-05</v>
      </c>
      <c r="U179" s="14">
        <f t="shared" si="16"/>
        <v>0.0006430449144296801</v>
      </c>
      <c r="V179" s="14">
        <f t="shared" si="3"/>
        <v>-18.190121666348688</v>
      </c>
      <c r="W179" s="14">
        <f t="shared" si="4"/>
        <v>-7.366653287288472E-05</v>
      </c>
      <c r="X179" s="14">
        <f t="shared" si="5"/>
        <v>15.626628361075404</v>
      </c>
      <c r="Y179" s="14">
        <f t="shared" si="6"/>
        <v>-0.0025223518264283484</v>
      </c>
      <c r="Z179" s="15">
        <f t="shared" si="17"/>
        <v>-2.565446278718156</v>
      </c>
    </row>
    <row r="180" spans="1:26" ht="12">
      <c r="A180" t="s">
        <v>70</v>
      </c>
      <c r="B180" s="12">
        <f>1</f>
        <v>1</v>
      </c>
      <c r="R180" s="13">
        <v>35.51493243276878</v>
      </c>
      <c r="S180" s="13">
        <f aca="true" t="shared" si="18" ref="S180:S243">2*PI()*R180/44100</f>
        <v>0.005060020445511305</v>
      </c>
      <c r="T180" s="13">
        <f t="shared" si="15"/>
        <v>2.5603752279461695E-05</v>
      </c>
      <c r="U180" s="14">
        <f t="shared" si="16"/>
        <v>0.0006690097197967759</v>
      </c>
      <c r="V180" s="14">
        <f aca="true" t="shared" si="19" ref="V180:V243">10*LOG10(($G$121+$G$122+$G$123)^2+($G$121*$G$123*$T180-($G$122*($G$121+$G$123)+4*$G$121*$G$123))*$T180)-10*LOG10((1+$G$124+$G$125)^2+(1*$G$125*$T180-($G$124*(1+$G$125)+4*1*$G$125))*$T180)</f>
        <v>-17.84324808610822</v>
      </c>
      <c r="W180" s="14">
        <f aca="true" t="shared" si="20" ref="W180:W243">10*LOG10(($G$126+$G$127+$G$128)^2+($G$126*$G$128*$T180-($G$127*($G$126+$G$128)+4*$G$126*$G$128))*$T180)-10*LOG10((1+$G$129+$G$130)^2+(1*$G$130*$T180-($G$129*(1+$G$130)+4*1*$G$130))*$T180)</f>
        <v>-7.664264876616755E-05</v>
      </c>
      <c r="X180" s="14">
        <f aca="true" t="shared" si="21" ref="X180:X243">10*LOG10(($G$131+$G$132+$G$133)^2+($G$131*$G$133*$T180-($G$132*($G$131+$G$133)+4*$G$131*$G$133))*$T180)-10*LOG10((1+$G$134+$G$135)^2+(1*$G$135*$T180-($G$134*(1+$G$135)+4*1*$G$135))*$T180)</f>
        <v>15.356343807115692</v>
      </c>
      <c r="Y180" s="14">
        <f aca="true" t="shared" si="22" ref="Y180:Y243">10*LOG10(($G$136+$G$137+$G$138)^2+($G$136*$G$138*$T180-($G$137*($G$136+$G$138)+4*$G$136*$G$138))*$T180)-10*LOG10((1+$G$139+$G$140)^2+(1*$G$140*$T180-($G$139*(1+$G$140)+4*1*$G$140))*$T180)</f>
        <v>-0.0026276804836413703</v>
      </c>
      <c r="Z180" s="15">
        <f t="shared" si="17"/>
        <v>-2.4889395924051385</v>
      </c>
    </row>
    <row r="181" spans="1:26" ht="12">
      <c r="A181" t="s">
        <v>71</v>
      </c>
      <c r="B181" s="12">
        <f>1+B143</f>
        <v>1.0108753311517575</v>
      </c>
      <c r="R181" s="13">
        <v>36.225231081424155</v>
      </c>
      <c r="S181" s="13">
        <f t="shared" si="18"/>
        <v>0.005161220854421531</v>
      </c>
      <c r="T181" s="13">
        <f aca="true" t="shared" si="23" ref="T181:T244">4*(SIN(S181/2))^2</f>
        <v>2.663814157535681E-05</v>
      </c>
      <c r="U181" s="14">
        <f aca="true" t="shared" si="24" ref="U181:U244">10*LOG10(($G$116+$G$117+$G$118)^2+($G$116*$G$118*T181-($G$117*($G$116+$G$118)+4*$G$116*$G$118))*T181)-10*LOG10((1+$G$119+$G$120)^2+(1*$G$120*T181-($G$119*(1+$G$120)+4*1*$G$120))*T181)</f>
        <v>0.0006960223317946657</v>
      </c>
      <c r="V181" s="14">
        <f t="shared" si="19"/>
        <v>-17.496485256498843</v>
      </c>
      <c r="W181" s="14">
        <f t="shared" si="20"/>
        <v>-7.973899874968993E-05</v>
      </c>
      <c r="X181" s="14">
        <f t="shared" si="21"/>
        <v>15.07959358595238</v>
      </c>
      <c r="Y181" s="14">
        <f t="shared" si="22"/>
        <v>-0.0027375541694141248</v>
      </c>
      <c r="Z181" s="15">
        <f t="shared" si="17"/>
        <v>-2.4190129413828316</v>
      </c>
    </row>
    <row r="182" spans="1:26" ht="12">
      <c r="A182" t="s">
        <v>72</v>
      </c>
      <c r="B182" s="12">
        <f>-2*B141</f>
        <v>-1.9806015681396387</v>
      </c>
      <c r="R182" s="13">
        <v>36.94973570305264</v>
      </c>
      <c r="S182" s="13">
        <f t="shared" si="18"/>
        <v>0.005264445271509962</v>
      </c>
      <c r="T182" s="13">
        <f t="shared" si="23"/>
        <v>2.7714320009525937E-05</v>
      </c>
      <c r="U182" s="14">
        <f t="shared" si="24"/>
        <v>0.0007241249852292242</v>
      </c>
      <c r="V182" s="14">
        <f t="shared" si="19"/>
        <v>-17.14985679610433</v>
      </c>
      <c r="W182" s="14">
        <f t="shared" si="20"/>
        <v>-8.296044019928672E-05</v>
      </c>
      <c r="X182" s="14">
        <f t="shared" si="21"/>
        <v>14.796756230581877</v>
      </c>
      <c r="Y182" s="14">
        <f t="shared" si="22"/>
        <v>-0.002852181339513038</v>
      </c>
      <c r="Z182" s="15">
        <f t="shared" si="17"/>
        <v>-2.3553115823169364</v>
      </c>
    </row>
    <row r="183" spans="1:26" ht="12">
      <c r="A183" t="s">
        <v>73</v>
      </c>
      <c r="B183">
        <f>1-B143</f>
        <v>0.9891246688482423</v>
      </c>
      <c r="R183" s="13">
        <v>37.68873041711369</v>
      </c>
      <c r="S183" s="13">
        <f t="shared" si="18"/>
        <v>0.005369734176940161</v>
      </c>
      <c r="T183" s="13">
        <f t="shared" si="23"/>
        <v>2.8833975847552596E-05</v>
      </c>
      <c r="U183" s="14">
        <f t="shared" si="24"/>
        <v>0.0007533616131958354</v>
      </c>
      <c r="V183" s="14">
        <f t="shared" si="19"/>
        <v>-16.803388870262154</v>
      </c>
      <c r="W183" s="14">
        <f t="shared" si="20"/>
        <v>-8.631202672049199E-05</v>
      </c>
      <c r="X183" s="14">
        <f t="shared" si="21"/>
        <v>14.5082181537569</v>
      </c>
      <c r="Y183" s="14">
        <f t="shared" si="22"/>
        <v>-0.0029717810426390656</v>
      </c>
      <c r="Z183" s="15">
        <f t="shared" si="17"/>
        <v>-2.2974754479614177</v>
      </c>
    </row>
    <row r="184" spans="18:26" ht="12">
      <c r="R184" s="13">
        <v>38.442505025455965</v>
      </c>
      <c r="S184" s="13">
        <f t="shared" si="18"/>
        <v>0.0054771288604789645</v>
      </c>
      <c r="T184" s="13">
        <f t="shared" si="23"/>
        <v>2.999886555966373E-05</v>
      </c>
      <c r="U184" s="14">
        <f t="shared" si="24"/>
        <v>0.0007837779150889901</v>
      </c>
      <c r="V184" s="14">
        <f t="shared" si="19"/>
        <v>-16.45711041908362</v>
      </c>
      <c r="W184" s="14">
        <f t="shared" si="20"/>
        <v>-8.979901607908403E-05</v>
      </c>
      <c r="X184" s="14">
        <f t="shared" si="21"/>
        <v>14.214370713439166</v>
      </c>
      <c r="Y184" s="14">
        <f t="shared" si="22"/>
        <v>-0.0030965835437584133</v>
      </c>
      <c r="Z184" s="15">
        <f t="shared" si="17"/>
        <v>-2.2451423102892036</v>
      </c>
    </row>
    <row r="185" spans="18:26" ht="12">
      <c r="R185" s="13">
        <v>39.211355125965085</v>
      </c>
      <c r="S185" s="13">
        <f t="shared" si="18"/>
        <v>0.005586671437688544</v>
      </c>
      <c r="T185" s="13">
        <f t="shared" si="23"/>
        <v>3.1210816576091224E-05</v>
      </c>
      <c r="U185" s="14">
        <f t="shared" si="24"/>
        <v>0.0008154214272266813</v>
      </c>
      <c r="V185" s="14">
        <f t="shared" si="19"/>
        <v>-16.11105340282424</v>
      </c>
      <c r="W185" s="14">
        <f t="shared" si="20"/>
        <v>-9.342687844604569E-05</v>
      </c>
      <c r="X185" s="14">
        <f t="shared" si="21"/>
        <v>13.91560763396069</v>
      </c>
      <c r="Y185" s="14">
        <f t="shared" si="22"/>
        <v>-0.0032268309907692583</v>
      </c>
      <c r="Z185" s="15">
        <f t="shared" si="17"/>
        <v>-2.1979506053055395</v>
      </c>
    </row>
    <row r="186" spans="1:26" ht="12">
      <c r="A186" t="s">
        <v>74</v>
      </c>
      <c r="B186" s="12">
        <f>1+(B143*B139)</f>
        <v>1.0079053570525613</v>
      </c>
      <c r="R186" s="13">
        <v>39.99558222848439</v>
      </c>
      <c r="S186" s="13">
        <f t="shared" si="18"/>
        <v>0.005698404866442314</v>
      </c>
      <c r="T186" s="13">
        <f t="shared" si="23"/>
        <v>3.2471730153741425E-05</v>
      </c>
      <c r="U186" s="14">
        <f t="shared" si="24"/>
        <v>0.0008483415962601271</v>
      </c>
      <c r="V186" s="14">
        <f t="shared" si="19"/>
        <v>-15.765253065463966</v>
      </c>
      <c r="W186" s="14">
        <f t="shared" si="20"/>
        <v>-9.720130497825608E-05</v>
      </c>
      <c r="X186" s="14">
        <f t="shared" si="21"/>
        <v>13.612322806852475</v>
      </c>
      <c r="Y186" s="14">
        <f t="shared" si="22"/>
        <v>-0.00336277812836272</v>
      </c>
      <c r="Z186" s="15">
        <f t="shared" si="17"/>
        <v>-2.1555418964485717</v>
      </c>
    </row>
    <row r="187" spans="1:26" ht="12">
      <c r="A187" t="s">
        <v>75</v>
      </c>
      <c r="B187" s="12">
        <f>-2*B141</f>
        <v>-1.9806015681396387</v>
      </c>
      <c r="R187" s="13">
        <v>40.79549387305408</v>
      </c>
      <c r="S187" s="13">
        <f t="shared" si="18"/>
        <v>0.0058123729637711615</v>
      </c>
      <c r="T187" s="13">
        <f t="shared" si="23"/>
        <v>3.3783584358668515E-05</v>
      </c>
      <c r="U187" s="14">
        <f t="shared" si="24"/>
        <v>0.0008825898555784306</v>
      </c>
      <c r="V187" s="14">
        <f t="shared" si="19"/>
        <v>-15.419748217303876</v>
      </c>
      <c r="W187" s="14">
        <f t="shared" si="20"/>
        <v>-0.00010112821674557182</v>
      </c>
      <c r="X187" s="14">
        <f t="shared" si="21"/>
        <v>13.304908481444954</v>
      </c>
      <c r="Y187" s="14">
        <f t="shared" si="22"/>
        <v>-0.0035046930626450035</v>
      </c>
      <c r="Z187" s="15">
        <f t="shared" si="17"/>
        <v>-2.1175629672827334</v>
      </c>
    </row>
    <row r="188" spans="1:26" ht="12">
      <c r="A188" t="s">
        <v>76</v>
      </c>
      <c r="B188" s="12">
        <f>1-(B143*B139)</f>
        <v>0.9920946429474388</v>
      </c>
      <c r="R188" s="13">
        <v>41.61140375051516</v>
      </c>
      <c r="S188" s="13">
        <f t="shared" si="18"/>
        <v>0.005928620423046584</v>
      </c>
      <c r="T188" s="13">
        <f t="shared" si="23"/>
        <v>3.5148437169029624E-05</v>
      </c>
      <c r="U188" s="14">
        <f t="shared" si="24"/>
        <v>0.0009182197046264662</v>
      </c>
      <c r="V188" s="14">
        <f t="shared" si="19"/>
        <v>-15.074581537304255</v>
      </c>
      <c r="W188" s="14">
        <f t="shared" si="20"/>
        <v>-0.00010521377402117338</v>
      </c>
      <c r="X188" s="14">
        <f t="shared" si="21"/>
        <v>12.993753843278512</v>
      </c>
      <c r="Y188" s="14">
        <f t="shared" si="22"/>
        <v>-0.0036528580810681888</v>
      </c>
      <c r="Z188" s="15">
        <f t="shared" si="17"/>
        <v>-2.083667546176205</v>
      </c>
    </row>
    <row r="189" spans="1:26" ht="12">
      <c r="A189" t="s">
        <v>77</v>
      </c>
      <c r="B189" s="12">
        <f>1+(B143/B139)</f>
        <v>1.0149610987680904</v>
      </c>
      <c r="R189" s="13">
        <v>42.443631825525465</v>
      </c>
      <c r="S189" s="13">
        <f t="shared" si="18"/>
        <v>0.006047192831507516</v>
      </c>
      <c r="T189" s="13">
        <f t="shared" si="23"/>
        <v>3.65684297033883E-05</v>
      </c>
      <c r="U189" s="14">
        <f t="shared" si="24"/>
        <v>0.0009552867914095486</v>
      </c>
      <c r="V189" s="14">
        <f t="shared" si="19"/>
        <v>-14.729799895775898</v>
      </c>
      <c r="W189" s="14">
        <f t="shared" si="20"/>
        <v>-0.00010946438594139352</v>
      </c>
      <c r="X189" s="14">
        <f t="shared" si="21"/>
        <v>12.679243968270626</v>
      </c>
      <c r="Y189" s="14">
        <f t="shared" si="22"/>
        <v>-0.0038075705321531927</v>
      </c>
      <c r="Z189" s="15">
        <f t="shared" si="17"/>
        <v>-2.053517675631957</v>
      </c>
    </row>
    <row r="190" spans="1:26" ht="12">
      <c r="A190" t="s">
        <v>78</v>
      </c>
      <c r="B190" s="12">
        <f>-2*B141</f>
        <v>-1.9806015681396387</v>
      </c>
      <c r="R190" s="13">
        <v>43.29250446203597</v>
      </c>
      <c r="S190" s="13">
        <f t="shared" si="18"/>
        <v>0.006168136688137667</v>
      </c>
      <c r="T190" s="13">
        <f t="shared" si="23"/>
        <v>3.8045789579429284E-05</v>
      </c>
      <c r="U190" s="14">
        <f t="shared" si="24"/>
        <v>0.0009938489982488363</v>
      </c>
      <c r="V190" s="14">
        <f t="shared" si="19"/>
        <v>-14.385454697883645</v>
      </c>
      <c r="W190" s="14">
        <f t="shared" si="20"/>
        <v>-0.00011388672055900884</v>
      </c>
      <c r="X190" s="14">
        <f t="shared" si="21"/>
        <v>12.361759132502115</v>
      </c>
      <c r="Y190" s="14">
        <f t="shared" si="22"/>
        <v>-0.003969143770241601</v>
      </c>
      <c r="Z190" s="15">
        <f t="shared" si="17"/>
        <v>-2.026784746874082</v>
      </c>
    </row>
    <row r="191" spans="1:26" ht="12">
      <c r="A191" t="s">
        <v>79</v>
      </c>
      <c r="B191">
        <f>1-(B143/B139)</f>
        <v>0.9850389012319096</v>
      </c>
      <c r="R191" s="13">
        <v>44.158354551276695</v>
      </c>
      <c r="S191" s="13">
        <f t="shared" si="18"/>
        <v>0.006291499421900421</v>
      </c>
      <c r="T191" s="13">
        <f t="shared" si="23"/>
        <v>3.9582834408352574E-05</v>
      </c>
      <c r="U191" s="14">
        <f t="shared" si="24"/>
        <v>0.0010339665308691792</v>
      </c>
      <c r="V191" s="14">
        <f t="shared" si="19"/>
        <v>-14.041602248221508</v>
      </c>
      <c r="W191" s="14">
        <f t="shared" si="20"/>
        <v>-0.00011848771530420521</v>
      </c>
      <c r="X191" s="14">
        <f t="shared" si="21"/>
        <v>12.041674451301958</v>
      </c>
      <c r="Y191" s="14">
        <f t="shared" si="22"/>
        <v>-0.00413790817082571</v>
      </c>
      <c r="Z191" s="15">
        <f t="shared" si="17"/>
        <v>-2.003150226274812</v>
      </c>
    </row>
    <row r="192" spans="18:26" ht="12">
      <c r="R192" s="13">
        <v>45.04152164230223</v>
      </c>
      <c r="S192" s="13">
        <f t="shared" si="18"/>
        <v>0.006417329410338428</v>
      </c>
      <c r="T192" s="13">
        <f t="shared" si="23"/>
        <v>4.118197543042683E-05</v>
      </c>
      <c r="U192" s="14">
        <f t="shared" si="24"/>
        <v>0.001075702011075208</v>
      </c>
      <c r="V192" s="14">
        <f t="shared" si="19"/>
        <v>-13.698304136465566</v>
      </c>
      <c r="W192" s="14">
        <f t="shared" si="20"/>
        <v>-0.00012327458786653978</v>
      </c>
      <c r="X192" s="14">
        <f t="shared" si="21"/>
        <v>11.719359816838477</v>
      </c>
      <c r="Y192" s="14">
        <f t="shared" si="22"/>
        <v>-0.0043142122227024515</v>
      </c>
      <c r="Z192" s="15">
        <f t="shared" si="17"/>
        <v>-1.9823061044265842</v>
      </c>
    </row>
    <row r="193" spans="18:26" ht="12">
      <c r="R193" s="13">
        <v>45.94235207514827</v>
      </c>
      <c r="S193" s="13">
        <f t="shared" si="18"/>
        <v>0.006545675998545197</v>
      </c>
      <c r="T193" s="13">
        <f t="shared" si="23"/>
        <v>4.2845721297403926E-05</v>
      </c>
      <c r="U193" s="14">
        <f t="shared" si="24"/>
        <v>0.0011191205729872422</v>
      </c>
      <c r="V193" s="14">
        <f t="shared" si="19"/>
        <v>-13.355627643792602</v>
      </c>
      <c r="W193" s="14">
        <f t="shared" si="20"/>
        <v>-0.00012825484751211036</v>
      </c>
      <c r="X193" s="14">
        <f t="shared" si="21"/>
        <v>11.395180100411878</v>
      </c>
      <c r="Y193" s="14">
        <f t="shared" si="22"/>
        <v>-0.004498423703736876</v>
      </c>
      <c r="Z193" s="15">
        <f t="shared" si="17"/>
        <v>-1.9639551013589855</v>
      </c>
    </row>
    <row r="194" spans="1:26" ht="12">
      <c r="A194" t="s">
        <v>88</v>
      </c>
      <c r="D194" s="5" t="s">
        <v>87</v>
      </c>
      <c r="E194" s="5">
        <f>D109</f>
        <v>978.3487289712558</v>
      </c>
      <c r="R194" s="13">
        <v>46.861199116651235</v>
      </c>
      <c r="S194" s="13">
        <f t="shared" si="18"/>
        <v>0.006676589518516101</v>
      </c>
      <c r="T194" s="13">
        <f t="shared" si="23"/>
        <v>4.457668200772663E-05</v>
      </c>
      <c r="U194" s="14">
        <f t="shared" si="24"/>
        <v>0.0011642899630714965</v>
      </c>
      <c r="V194" s="14">
        <f t="shared" si="19"/>
        <v>-13.013646169361934</v>
      </c>
      <c r="W194" s="14">
        <f t="shared" si="20"/>
        <v>-0.00013343630687057129</v>
      </c>
      <c r="X194" s="14">
        <f t="shared" si="21"/>
        <v>11.069495583806557</v>
      </c>
      <c r="Y194" s="14">
        <f t="shared" si="22"/>
        <v>-0.004690930947710115</v>
      </c>
      <c r="Z194" s="15">
        <f t="shared" si="17"/>
        <v>-1.9478106628468872</v>
      </c>
    </row>
    <row r="195" spans="4:26" ht="12">
      <c r="D195" s="5" t="s">
        <v>81</v>
      </c>
      <c r="E195" s="5">
        <f>D111+20</f>
        <v>14.45916</v>
      </c>
      <c r="G195" t="s">
        <v>86</v>
      </c>
      <c r="H195">
        <f>-COS(2*PI()*E194/44100)</f>
        <v>-0.9903007840698194</v>
      </c>
      <c r="R195" s="13">
        <v>47.79842309898426</v>
      </c>
      <c r="S195" s="13">
        <f t="shared" si="18"/>
        <v>0.006810121308886422</v>
      </c>
      <c r="T195" s="13">
        <f t="shared" si="23"/>
        <v>4.637757300070076E-05</v>
      </c>
      <c r="U195" s="14">
        <f t="shared" si="24"/>
        <v>0.0012112806441493262</v>
      </c>
      <c r="V195" s="14">
        <f t="shared" si="19"/>
        <v>-12.672439675682782</v>
      </c>
      <c r="W195" s="14">
        <f t="shared" si="20"/>
        <v>-0.00013882709417600836</v>
      </c>
      <c r="X195" s="14">
        <f t="shared" si="21"/>
        <v>10.742662583122737</v>
      </c>
      <c r="Y195" s="14">
        <f t="shared" si="22"/>
        <v>-0.004892144210543847</v>
      </c>
      <c r="Z195" s="15">
        <f t="shared" si="17"/>
        <v>-1.9335967832206151</v>
      </c>
    </row>
    <row r="196" spans="1:26" ht="12">
      <c r="A196" t="s">
        <v>89</v>
      </c>
      <c r="B196">
        <f>1+(1+E202)*E197/2</f>
        <v>1.1452686911783592</v>
      </c>
      <c r="D196" s="5" t="s">
        <v>82</v>
      </c>
      <c r="E196" s="5">
        <f>E194/D110</f>
        <v>153.15758148174822</v>
      </c>
      <c r="R196" s="13">
        <v>48.754391560963946</v>
      </c>
      <c r="S196" s="13">
        <f t="shared" si="18"/>
        <v>0.006946323735064151</v>
      </c>
      <c r="T196" s="13">
        <f t="shared" si="23"/>
        <v>4.825121941605278E-05</v>
      </c>
      <c r="U196" s="14">
        <f t="shared" si="24"/>
        <v>0.0012601659034103818</v>
      </c>
      <c r="V196" s="14">
        <f t="shared" si="19"/>
        <v>-12.332095151119447</v>
      </c>
      <c r="W196" s="14">
        <f t="shared" si="20"/>
        <v>-0.00014443566603539182</v>
      </c>
      <c r="X196" s="14">
        <f t="shared" si="21"/>
        <v>10.415034228190365</v>
      </c>
      <c r="Y196" s="14">
        <f t="shared" si="22"/>
        <v>-0.005102497144967799</v>
      </c>
      <c r="Z196" s="15">
        <f t="shared" si="17"/>
        <v>-1.9210476898366746</v>
      </c>
    </row>
    <row r="197" spans="1:26" ht="12">
      <c r="A197" t="s">
        <v>90</v>
      </c>
      <c r="B197">
        <f>H195*(1-E202)</f>
        <v>-1.9592243501297888</v>
      </c>
      <c r="D197" t="s">
        <v>85</v>
      </c>
      <c r="E197">
        <f>E195-1</f>
        <v>13.45916</v>
      </c>
      <c r="R197" s="13">
        <v>49.72947939218322</v>
      </c>
      <c r="S197" s="13">
        <f t="shared" si="18"/>
        <v>0.007085250209765434</v>
      </c>
      <c r="T197" s="13">
        <f t="shared" si="23"/>
        <v>5.020056052555236E-05</v>
      </c>
      <c r="U197" s="14">
        <f t="shared" si="24"/>
        <v>0.0013110219646819132</v>
      </c>
      <c r="V197" s="14">
        <f t="shared" si="19"/>
        <v>-11.992707087111427</v>
      </c>
      <c r="W197" s="14">
        <f t="shared" si="20"/>
        <v>-0.00015027082067309294</v>
      </c>
      <c r="X197" s="14">
        <f t="shared" si="21"/>
        <v>10.0869613607409</v>
      </c>
      <c r="Y197" s="14">
        <f t="shared" si="22"/>
        <v>-0.00532244839370577</v>
      </c>
      <c r="Z197" s="15">
        <f t="shared" si="17"/>
        <v>-1.909907423620222</v>
      </c>
    </row>
    <row r="198" spans="1:26" ht="12">
      <c r="A198" t="s">
        <v>91</v>
      </c>
      <c r="B198">
        <f>-E202-(1+E202)*E197/2</f>
        <v>0.8331447178043173</v>
      </c>
      <c r="R198" s="13">
        <v>50.724068980026885</v>
      </c>
      <c r="S198" s="13">
        <f t="shared" si="18"/>
        <v>0.007226955213960742</v>
      </c>
      <c r="T198" s="13">
        <f t="shared" si="23"/>
        <v>5.2228654343650114E-05</v>
      </c>
      <c r="U198" s="14">
        <f t="shared" si="24"/>
        <v>0.0013639281050608076</v>
      </c>
      <c r="V198" s="14">
        <f t="shared" si="19"/>
        <v>-11.654377966891687</v>
      </c>
      <c r="W198" s="14">
        <f t="shared" si="20"/>
        <v>-0.00015634171174383482</v>
      </c>
      <c r="X198" s="14">
        <f t="shared" si="21"/>
        <v>9.758793514765642</v>
      </c>
      <c r="Y198" s="14">
        <f t="shared" si="22"/>
        <v>-0.005552483312456502</v>
      </c>
      <c r="Z198" s="15">
        <f t="shared" si="17"/>
        <v>-1.899929349045184</v>
      </c>
    </row>
    <row r="199" spans="1:26" ht="12">
      <c r="A199" t="s">
        <v>92</v>
      </c>
      <c r="B199">
        <f>B197</f>
        <v>-1.9592243501297888</v>
      </c>
      <c r="R199" s="13">
        <v>51.738550359627425</v>
      </c>
      <c r="S199" s="13">
        <f t="shared" si="18"/>
        <v>0.007371494318239957</v>
      </c>
      <c r="T199" s="13">
        <f t="shared" si="23"/>
        <v>5.433868242436059E-05</v>
      </c>
      <c r="U199" s="14">
        <f t="shared" si="24"/>
        <v>0.00141896677613218</v>
      </c>
      <c r="V199" s="14">
        <f t="shared" si="19"/>
        <v>-11.317218761568498</v>
      </c>
      <c r="W199" s="14">
        <f t="shared" si="20"/>
        <v>-0.00016265786268387927</v>
      </c>
      <c r="X199" s="14">
        <f t="shared" si="21"/>
        <v>9.430879942770872</v>
      </c>
      <c r="Y199" s="14">
        <f t="shared" si="22"/>
        <v>-0.005793115834663354</v>
      </c>
      <c r="Z199" s="15">
        <f t="shared" si="17"/>
        <v>-1.8908756257188415</v>
      </c>
    </row>
    <row r="200" spans="1:26" ht="12">
      <c r="A200" t="s">
        <v>93</v>
      </c>
      <c r="B200">
        <f>-E202</f>
        <v>0.9784134089826766</v>
      </c>
      <c r="D200" t="s">
        <v>84</v>
      </c>
      <c r="E200" s="4">
        <f>(TAN(PI()*E196/44100)-E195)/(TAN(PI()*E196/44100)+E195)</f>
        <v>-0.998491913166616</v>
      </c>
      <c r="R200" s="13">
        <v>52.77332136681997</v>
      </c>
      <c r="S200" s="13">
        <f t="shared" si="18"/>
        <v>0.007518924204604757</v>
      </c>
      <c r="T200" s="13">
        <f t="shared" si="23"/>
        <v>5.653395485191269E-05</v>
      </c>
      <c r="U200" s="14">
        <f t="shared" si="24"/>
        <v>0.001476223729852677</v>
      </c>
      <c r="V200" s="14">
        <f t="shared" si="19"/>
        <v>-10.981349428380085</v>
      </c>
      <c r="W200" s="14">
        <f t="shared" si="20"/>
        <v>-0.0001692291816519642</v>
      </c>
      <c r="X200" s="14">
        <f t="shared" si="21"/>
        <v>9.103570651832428</v>
      </c>
      <c r="Y200" s="14">
        <f t="shared" si="22"/>
        <v>-0.0060448904921130975</v>
      </c>
      <c r="Z200" s="15">
        <f t="shared" si="17"/>
        <v>-1.882516672491569</v>
      </c>
    </row>
    <row r="201" spans="4:26" ht="12">
      <c r="D201" t="s">
        <v>83</v>
      </c>
      <c r="E201" s="4">
        <f>(TAN(PI()*E196/44100)-1)/(TAN(PI()*E196/44100)+1)</f>
        <v>-0.9784134089826766</v>
      </c>
      <c r="R201" s="13">
        <v>53.82878779415637</v>
      </c>
      <c r="S201" s="13">
        <f t="shared" si="18"/>
        <v>0.0076693026886968515</v>
      </c>
      <c r="T201" s="13">
        <f t="shared" si="23"/>
        <v>5.881791543299381E-05</v>
      </c>
      <c r="U201" s="14">
        <f t="shared" si="24"/>
        <v>0.0015357881493827108</v>
      </c>
      <c r="V201" s="14">
        <f t="shared" si="19"/>
        <v>-10.646899404738079</v>
      </c>
      <c r="W201" s="14">
        <f t="shared" si="20"/>
        <v>-0.00017606597706887328</v>
      </c>
      <c r="X201" s="14">
        <f t="shared" si="21"/>
        <v>8.777217413397963</v>
      </c>
      <c r="Y201" s="14">
        <f t="shared" si="22"/>
        <v>-0.00630838460621419</v>
      </c>
      <c r="Z201" s="15">
        <f t="shared" si="17"/>
        <v>-1.874630653774016</v>
      </c>
    </row>
    <row r="202" spans="4:26" ht="12">
      <c r="D202" t="s">
        <v>80</v>
      </c>
      <c r="E202">
        <f>IF(E195&lt;1,E200,E201)</f>
        <v>-0.9784134089826766</v>
      </c>
      <c r="R202" s="13">
        <v>54.905363550039496</v>
      </c>
      <c r="S202" s="13">
        <f t="shared" si="18"/>
        <v>0.00782268874247079</v>
      </c>
      <c r="T202" s="13">
        <f t="shared" si="23"/>
        <v>6.119414709872977E-05</v>
      </c>
      <c r="U202" s="14">
        <f t="shared" si="24"/>
        <v>0.0015977527849457829</v>
      </c>
      <c r="V202" s="14">
        <f t="shared" si="19"/>
        <v>-10.314008090337992</v>
      </c>
      <c r="W202" s="14">
        <f t="shared" si="20"/>
        <v>-0.00018317897378139492</v>
      </c>
      <c r="X202" s="14">
        <f t="shared" si="21"/>
        <v>8.452174710666469</v>
      </c>
      <c r="Y202" s="14">
        <f t="shared" si="22"/>
        <v>-0.006584210666993329</v>
      </c>
      <c r="Z202" s="15">
        <f t="shared" si="17"/>
        <v>-1.8670030165273523</v>
      </c>
    </row>
    <row r="203" spans="18:26" ht="12">
      <c r="R203" s="13">
        <v>56.00347082104029</v>
      </c>
      <c r="S203" s="13">
        <f t="shared" si="18"/>
        <v>0.007979142517320204</v>
      </c>
      <c r="T203" s="13">
        <f t="shared" si="23"/>
        <v>6.366637752487064E-05</v>
      </c>
      <c r="U203" s="14">
        <f t="shared" si="24"/>
        <v>0.0016622140949813513</v>
      </c>
      <c r="V203" s="14">
        <f t="shared" si="19"/>
        <v>-9.98282530814123</v>
      </c>
      <c r="W203" s="14">
        <f t="shared" si="20"/>
        <v>-0.00019057932989241522</v>
      </c>
      <c r="X203" s="14">
        <f t="shared" si="21"/>
        <v>8.128800587130812</v>
      </c>
      <c r="Y203" s="14">
        <f t="shared" si="22"/>
        <v>-0.006873018918476248</v>
      </c>
      <c r="Z203" s="15">
        <f t="shared" si="17"/>
        <v>-1.8594261051638057</v>
      </c>
    </row>
    <row r="204" spans="18:26" ht="12">
      <c r="R204" s="13">
        <v>57.12354023746109</v>
      </c>
      <c r="S204" s="13">
        <f t="shared" si="18"/>
        <v>0.008138725367666608</v>
      </c>
      <c r="T204" s="13">
        <f t="shared" si="23"/>
        <v>6.623848497899641E-05</v>
      </c>
      <c r="U204" s="14">
        <f t="shared" si="24"/>
        <v>0.0017292723927582188</v>
      </c>
      <c r="V204" s="14">
        <f t="shared" si="19"/>
        <v>-9.653511733432879</v>
      </c>
      <c r="W204" s="14">
        <f t="shared" si="20"/>
        <v>-0.0001982786542544801</v>
      </c>
      <c r="X204" s="14">
        <f t="shared" si="21"/>
        <v>7.807457359582401</v>
      </c>
      <c r="Y204" s="14">
        <f t="shared" si="22"/>
        <v>-0.007175500171150873</v>
      </c>
      <c r="Z204" s="15">
        <f t="shared" si="17"/>
        <v>-1.8516988802831253</v>
      </c>
    </row>
    <row r="205" spans="18:26" ht="12">
      <c r="R205" s="13">
        <v>58.266011042210316</v>
      </c>
      <c r="S205" s="13">
        <f t="shared" si="18"/>
        <v>0.00830149987501994</v>
      </c>
      <c r="T205" s="13">
        <f t="shared" si="23"/>
        <v>6.891450440390974E-05</v>
      </c>
      <c r="U205" s="14">
        <f t="shared" si="24"/>
        <v>0.0017990319985941028</v>
      </c>
      <c r="V205" s="14">
        <f t="shared" si="19"/>
        <v>-9.326239278453855</v>
      </c>
      <c r="W205" s="14">
        <f t="shared" si="20"/>
        <v>-0.0002062890246783411</v>
      </c>
      <c r="X205" s="14">
        <f t="shared" si="21"/>
        <v>7.488512158684529</v>
      </c>
      <c r="Y205" s="14">
        <f t="shared" si="22"/>
        <v>-0.007492388865088628</v>
      </c>
      <c r="Z205" s="15">
        <f t="shared" si="17"/>
        <v>-1.843626765660499</v>
      </c>
    </row>
    <row r="206" spans="18:26" ht="12">
      <c r="R206" s="13">
        <v>59.431331263054524</v>
      </c>
      <c r="S206" s="13">
        <f t="shared" si="18"/>
        <v>0.00846752987252034</v>
      </c>
      <c r="T206" s="13">
        <f t="shared" si="23"/>
        <v>7.169863374675553E-05</v>
      </c>
      <c r="U206" s="14">
        <f t="shared" si="24"/>
        <v>0.0018716013980295543</v>
      </c>
      <c r="V206" s="14">
        <f t="shared" si="19"/>
        <v>-9.001191418329512</v>
      </c>
      <c r="W206" s="14">
        <f t="shared" si="20"/>
        <v>-0.00021462300687602465</v>
      </c>
      <c r="X206" s="14">
        <f t="shared" si="21"/>
        <v>7.172337260295976</v>
      </c>
      <c r="Y206" s="14">
        <f t="shared" si="22"/>
        <v>-0.007824466409367403</v>
      </c>
      <c r="Z206" s="15">
        <f t="shared" si="17"/>
        <v>-1.83502164605175</v>
      </c>
    </row>
    <row r="207" spans="18:26" ht="12">
      <c r="R207" s="13">
        <v>60.61995788831562</v>
      </c>
      <c r="S207" s="13">
        <f t="shared" si="18"/>
        <v>0.008636880469970748</v>
      </c>
      <c r="T207" s="13">
        <f t="shared" si="23"/>
        <v>7.459524054379074E-05</v>
      </c>
      <c r="U207" s="14">
        <f t="shared" si="24"/>
        <v>0.0019470934060024092</v>
      </c>
      <c r="V207" s="14">
        <f t="shared" si="19"/>
        <v>-8.678563442215363</v>
      </c>
      <c r="W207" s="14">
        <f t="shared" si="20"/>
        <v>-0.00022329367417217583</v>
      </c>
      <c r="X207" s="14">
        <f t="shared" si="21"/>
        <v>6.859310171297096</v>
      </c>
      <c r="Y207" s="14">
        <f t="shared" si="22"/>
        <v>-0.00817256482712736</v>
      </c>
      <c r="Z207" s="15">
        <f t="shared" si="17"/>
        <v>-1.8257020360135634</v>
      </c>
    </row>
    <row r="208" spans="18:26" ht="12">
      <c r="R208" s="13">
        <v>61.83235704608193</v>
      </c>
      <c r="S208" s="13">
        <f t="shared" si="18"/>
        <v>0.008809618079370163</v>
      </c>
      <c r="T208" s="13">
        <f t="shared" si="23"/>
        <v>7.760886877112903E-05</v>
      </c>
      <c r="U208" s="14">
        <f t="shared" si="24"/>
        <v>0.002025625337321202</v>
      </c>
      <c r="V208" s="14">
        <f t="shared" si="19"/>
        <v>-8.35856261181722</v>
      </c>
      <c r="W208" s="14">
        <f t="shared" si="20"/>
        <v>-0.00023231462799966351</v>
      </c>
      <c r="X208" s="14">
        <f t="shared" si="21"/>
        <v>6.549813434981871</v>
      </c>
      <c r="Y208" s="14">
        <f t="shared" si="22"/>
        <v>-0.00853757073841166</v>
      </c>
      <c r="Z208" s="15">
        <f t="shared" si="17"/>
        <v>-1.8154934368644398</v>
      </c>
    </row>
    <row r="209" spans="18:26" ht="12">
      <c r="R209" s="13">
        <v>63.06900418700357</v>
      </c>
      <c r="S209" s="13">
        <f t="shared" si="18"/>
        <v>0.008985810440957566</v>
      </c>
      <c r="T209" s="13">
        <f t="shared" si="23"/>
        <v>8.07442459722013E-05</v>
      </c>
      <c r="U209" s="14">
        <f t="shared" si="24"/>
        <v>0.002107319183753731</v>
      </c>
      <c r="V209" s="14">
        <f t="shared" si="19"/>
        <v>-8.041408207804182</v>
      </c>
      <c r="W209" s="14">
        <f t="shared" si="20"/>
        <v>-0.00024170001924250784</v>
      </c>
      <c r="X209" s="14">
        <f t="shared" si="21"/>
        <v>6.244234123418607</v>
      </c>
      <c r="Y209" s="14">
        <f t="shared" si="22"/>
        <v>-0.008920429717633738</v>
      </c>
      <c r="Z209" s="15">
        <f t="shared" si="17"/>
        <v>-1.8042288949386958</v>
      </c>
    </row>
    <row r="210" spans="18:26" ht="12">
      <c r="R210" s="13">
        <v>64.33038427074365</v>
      </c>
      <c r="S210" s="13">
        <f t="shared" si="18"/>
        <v>0.009165526649776719</v>
      </c>
      <c r="T210" s="13">
        <f t="shared" si="23"/>
        <v>8.400629067310735E-05</v>
      </c>
      <c r="U210" s="14">
        <f t="shared" si="24"/>
        <v>0.00219230179772012</v>
      </c>
      <c r="V210" s="14">
        <f t="shared" si="19"/>
        <v>-7.727331443214794</v>
      </c>
      <c r="W210" s="14">
        <f t="shared" si="20"/>
        <v>-0.0002514645704208007</v>
      </c>
      <c r="X210" s="14">
        <f t="shared" si="21"/>
        <v>5.942962987825723</v>
      </c>
      <c r="Y210" s="14">
        <f t="shared" si="22"/>
        <v>-0.009322151066257334</v>
      </c>
      <c r="Z210" s="15">
        <f t="shared" si="17"/>
        <v>-1.791749769228029</v>
      </c>
    </row>
    <row r="211" spans="18:26" ht="12">
      <c r="R211" s="13">
        <v>65.61699195615853</v>
      </c>
      <c r="S211" s="13">
        <f t="shared" si="18"/>
        <v>0.009348837182772253</v>
      </c>
      <c r="T211" s="13">
        <f t="shared" si="23"/>
        <v>8.740012009748406E-05</v>
      </c>
      <c r="U211" s="14">
        <f t="shared" si="24"/>
        <v>0.0022807050831445963</v>
      </c>
      <c r="V211" s="14">
        <f t="shared" si="19"/>
        <v>-7.416575221889474</v>
      </c>
      <c r="W211" s="14">
        <f t="shared" si="20"/>
        <v>-0.00026162359877979213</v>
      </c>
      <c r="X211" s="14">
        <f t="shared" si="21"/>
        <v>5.646393243233831</v>
      </c>
      <c r="Y211" s="14">
        <f t="shared" si="22"/>
        <v>-0.009743813046931393</v>
      </c>
      <c r="Z211" s="15">
        <f t="shared" si="17"/>
        <v>-1.7779067102182093</v>
      </c>
    </row>
    <row r="212" spans="18:26" ht="12">
      <c r="R212" s="13">
        <v>66.9293317952817</v>
      </c>
      <c r="S212" s="13">
        <f t="shared" si="18"/>
        <v>0.009535813926427697</v>
      </c>
      <c r="T212" s="13">
        <f t="shared" si="23"/>
        <v>9.093105819298628E-05</v>
      </c>
      <c r="U212" s="14">
        <f t="shared" si="24"/>
        <v>0.002372666193412698</v>
      </c>
      <c r="V212" s="14">
        <f t="shared" si="19"/>
        <v>-7.109393719382055</v>
      </c>
      <c r="W212" s="14">
        <f t="shared" si="20"/>
        <v>-0.0002721930403168926</v>
      </c>
      <c r="X212" s="14">
        <f t="shared" si="21"/>
        <v>5.354918970736591</v>
      </c>
      <c r="Y212" s="14">
        <f t="shared" si="22"/>
        <v>-0.010186568630807358</v>
      </c>
      <c r="Z212" s="15">
        <f t="shared" si="17"/>
        <v>-1.7625608441231755</v>
      </c>
    </row>
    <row r="213" spans="18:26" ht="12">
      <c r="R213" s="13">
        <v>68.26791843118734</v>
      </c>
      <c r="S213" s="13">
        <f t="shared" si="18"/>
        <v>0.009726530204956252</v>
      </c>
      <c r="T213" s="13">
        <f t="shared" si="23"/>
        <v>9.460464398196299E-05</v>
      </c>
      <c r="U213" s="14">
        <f t="shared" si="24"/>
        <v>0.002468327736934839</v>
      </c>
      <c r="V213" s="14">
        <f t="shared" si="19"/>
        <v>-6.806051763874336</v>
      </c>
      <c r="W213" s="14">
        <f t="shared" si="20"/>
        <v>-0.00028318947476968503</v>
      </c>
      <c r="X213" s="14">
        <f t="shared" si="21"/>
        <v>5.068933129628618</v>
      </c>
      <c r="Y213" s="14">
        <f t="shared" si="22"/>
        <v>-0.010651651816452556</v>
      </c>
      <c r="Z213" s="15">
        <f t="shared" si="17"/>
        <v>-1.7455851478000053</v>
      </c>
    </row>
    <row r="214" spans="18:26" ht="12">
      <c r="R214" s="13">
        <v>69.63327679981109</v>
      </c>
      <c r="S214" s="13">
        <f t="shared" si="18"/>
        <v>0.009921060809055377</v>
      </c>
      <c r="T214" s="13">
        <f t="shared" si="23"/>
        <v>9.842664024942025E-05</v>
      </c>
      <c r="U214" s="14">
        <f t="shared" si="24"/>
        <v>0.0025678379904086057</v>
      </c>
      <c r="V214" s="14">
        <f t="shared" si="19"/>
        <v>-6.50682399550675</v>
      </c>
      <c r="W214" s="14">
        <f t="shared" si="20"/>
        <v>-0.00029463015162090045</v>
      </c>
      <c r="X214" s="14">
        <f t="shared" si="21"/>
        <v>4.788825182734271</v>
      </c>
      <c r="Y214" s="14">
        <f t="shared" si="22"/>
        <v>-0.011140384586568075</v>
      </c>
      <c r="Z214" s="15">
        <f t="shared" si="17"/>
        <v>-1.7268659895202587</v>
      </c>
    </row>
    <row r="215" spans="18:26" ht="12">
      <c r="R215" s="13">
        <v>71.02594233580731</v>
      </c>
      <c r="S215" s="13">
        <f t="shared" si="18"/>
        <v>0.010119482025236486</v>
      </c>
      <c r="T215" s="13">
        <f t="shared" si="23"/>
        <v>0.00010240304258189176</v>
      </c>
      <c r="U215" s="14">
        <f t="shared" si="24"/>
        <v>0.002671351120124399</v>
      </c>
      <c r="V215" s="14">
        <f t="shared" si="19"/>
        <v>-6.211993784419249</v>
      </c>
      <c r="W215" s="14">
        <f t="shared" si="20"/>
        <v>-0.0003065330171452274</v>
      </c>
      <c r="X215" s="14">
        <f t="shared" si="21"/>
        <v>4.514978351150148</v>
      </c>
      <c r="Y215" s="14">
        <f t="shared" si="22"/>
        <v>-0.011654184577018611</v>
      </c>
      <c r="Z215" s="15">
        <f t="shared" si="17"/>
        <v>-1.7063047997431404</v>
      </c>
    </row>
    <row r="216" spans="18:26" ht="12">
      <c r="R216" s="13">
        <v>72.44646118252346</v>
      </c>
      <c r="S216" s="13">
        <f t="shared" si="18"/>
        <v>0.010321871665741215</v>
      </c>
      <c r="T216" s="13">
        <f t="shared" si="23"/>
        <v>0.00010654008877138467</v>
      </c>
      <c r="U216" s="14">
        <f t="shared" si="24"/>
        <v>0.00277902741158087</v>
      </c>
      <c r="V216" s="14">
        <f t="shared" si="19"/>
        <v>-5.921851890832528</v>
      </c>
      <c r="W216" s="14">
        <f t="shared" si="20"/>
        <v>-0.00031891674255479785</v>
      </c>
      <c r="X216" s="14">
        <f t="shared" si="21"/>
        <v>4.247766529179216</v>
      </c>
      <c r="Y216" s="14">
        <f t="shared" si="22"/>
        <v>-0.012194573543204967</v>
      </c>
      <c r="Z216" s="15">
        <f t="shared" si="17"/>
        <v>-1.6838198245274905</v>
      </c>
    </row>
    <row r="217" spans="18:26" ht="12">
      <c r="R217" s="13">
        <v>73.89539040617393</v>
      </c>
      <c r="S217" s="13">
        <f t="shared" si="18"/>
        <v>0.01052830909905604</v>
      </c>
      <c r="T217" s="13">
        <f t="shared" si="23"/>
        <v>0.00011084426859914379</v>
      </c>
      <c r="U217" s="14">
        <f t="shared" si="24"/>
        <v>0.002891033507690821</v>
      </c>
      <c r="V217" s="14">
        <f t="shared" si="19"/>
        <v>-5.636694854828761</v>
      </c>
      <c r="W217" s="14">
        <f t="shared" si="20"/>
        <v>-0.00033180075327798875</v>
      </c>
      <c r="X217" s="14">
        <f t="shared" si="21"/>
        <v>3.9875509059552456</v>
      </c>
      <c r="Y217" s="14">
        <f t="shared" si="22"/>
        <v>-0.012763186719674025</v>
      </c>
      <c r="Z217" s="15">
        <f t="shared" si="17"/>
        <v>-1.6593479028387765</v>
      </c>
    </row>
    <row r="218" spans="18:26" ht="12">
      <c r="R218" s="13">
        <v>75.3732982142974</v>
      </c>
      <c r="S218" s="13">
        <f t="shared" si="18"/>
        <v>0.01073887528103716</v>
      </c>
      <c r="T218" s="13">
        <f t="shared" si="23"/>
        <v>0.0001153223340145693</v>
      </c>
      <c r="U218" s="14">
        <f t="shared" si="24"/>
        <v>0.0030075426558582308</v>
      </c>
      <c r="V218" s="14">
        <f t="shared" si="19"/>
        <v>-5.356823109208278</v>
      </c>
      <c r="W218" s="14">
        <f t="shared" si="20"/>
        <v>-0.0003452052594257182</v>
      </c>
      <c r="X218" s="14">
        <f t="shared" si="21"/>
        <v>3.7346763564556795</v>
      </c>
      <c r="Y218" s="14">
        <f t="shared" si="22"/>
        <v>-0.01336178318270953</v>
      </c>
      <c r="Z218" s="15">
        <f t="shared" si="17"/>
        <v>-1.6328461985388758</v>
      </c>
    </row>
    <row r="219" spans="18:26" ht="12">
      <c r="R219" s="13">
        <v>76.88076417858336</v>
      </c>
      <c r="S219" s="13">
        <f t="shared" si="18"/>
        <v>0.010953652786657905</v>
      </c>
      <c r="T219" s="13">
        <f t="shared" si="23"/>
        <v>0.00011998130972524346</v>
      </c>
      <c r="U219" s="14">
        <f t="shared" si="24"/>
        <v>0.0031287349642177276</v>
      </c>
      <c r="V219" s="14">
        <f t="shared" si="19"/>
        <v>-5.082538815936374</v>
      </c>
      <c r="W219" s="14">
        <f t="shared" si="20"/>
        <v>-0.0003591512874763225</v>
      </c>
      <c r="X219" s="14">
        <f t="shared" si="21"/>
        <v>3.4894676804106552</v>
      </c>
      <c r="Y219" s="14">
        <f t="shared" si="22"/>
        <v>-0.013992257340433412</v>
      </c>
      <c r="Z219" s="15">
        <f t="shared" si="17"/>
        <v>-1.6042938091894108</v>
      </c>
    </row>
    <row r="220" spans="18:26" ht="12">
      <c r="R220" s="13">
        <v>78.41837946215503</v>
      </c>
      <c r="S220" s="13">
        <f t="shared" si="18"/>
        <v>0.011172725842391065</v>
      </c>
      <c r="T220" s="13">
        <f t="shared" si="23"/>
        <v>0.00012482850421466512</v>
      </c>
      <c r="U220" s="14">
        <f t="shared" si="24"/>
        <v>0.00325479766739889</v>
      </c>
      <c r="V220" s="14">
        <f t="shared" si="19"/>
        <v>-4.814143435199995</v>
      </c>
      <c r="W220" s="14">
        <f t="shared" si="20"/>
        <v>-0.00037366071325184436</v>
      </c>
      <c r="X220" s="14">
        <f t="shared" si="21"/>
        <v>3.252225782000309</v>
      </c>
      <c r="Y220" s="14">
        <f t="shared" si="22"/>
        <v>-0.014656651693151446</v>
      </c>
      <c r="Z220" s="15">
        <f t="shared" si="17"/>
        <v>-1.57369316793869</v>
      </c>
    </row>
    <row r="221" spans="18:26" ht="12">
      <c r="R221" s="13">
        <v>79.98674705139813</v>
      </c>
      <c r="S221" s="13">
        <f t="shared" si="18"/>
        <v>0.011396180359238884</v>
      </c>
      <c r="T221" s="13">
        <f t="shared" si="23"/>
        <v>0.00012987152120496113</v>
      </c>
      <c r="U221" s="14">
        <f t="shared" si="24"/>
        <v>0.0033859254019930063</v>
      </c>
      <c r="V221" s="14">
        <f t="shared" si="19"/>
        <v>-4.551935045810396</v>
      </c>
      <c r="W221" s="14">
        <f t="shared" si="20"/>
        <v>-0.00038875629622570074</v>
      </c>
      <c r="X221" s="14">
        <f t="shared" si="21"/>
        <v>3.0232238950778623</v>
      </c>
      <c r="Y221" s="14">
        <f t="shared" si="22"/>
        <v>-0.015357171026593619</v>
      </c>
      <c r="Z221" s="15">
        <f t="shared" si="17"/>
        <v>-1.5410711526533598</v>
      </c>
    </row>
    <row r="222" spans="18:26" ht="12">
      <c r="R222" s="13">
        <v>81.58648199242609</v>
      </c>
      <c r="S222" s="13">
        <f t="shared" si="18"/>
        <v>0.011624103966423662</v>
      </c>
      <c r="T222" s="13">
        <f t="shared" si="23"/>
        <v>0.00013511827158254</v>
      </c>
      <c r="U222" s="14">
        <f t="shared" si="24"/>
        <v>0.003522320492248099</v>
      </c>
      <c r="V222" s="14">
        <f t="shared" si="19"/>
        <v>-4.296205446341801</v>
      </c>
      <c r="W222" s="14">
        <f t="shared" si="20"/>
        <v>-0.0004044617151999219</v>
      </c>
      <c r="X222" s="14">
        <f t="shared" si="21"/>
        <v>2.80270396684773</v>
      </c>
      <c r="Y222" s="14">
        <f t="shared" si="22"/>
        <v>-0.016096198225376668</v>
      </c>
      <c r="Z222" s="15">
        <f aca="true" t="shared" si="25" ref="Z222:Z285">U222+V222+W222+X222+Y222</f>
        <v>-1.5064798189423998</v>
      </c>
    </row>
    <row r="223" spans="18:26" ht="12">
      <c r="R223" s="13">
        <v>83.21821163227462</v>
      </c>
      <c r="S223" s="13">
        <f t="shared" si="18"/>
        <v>0.011856586045752137</v>
      </c>
      <c r="T223" s="13">
        <f t="shared" si="23"/>
        <v>0.000140576985805378</v>
      </c>
      <c r="U223" s="14">
        <f t="shared" si="24"/>
        <v>0.003664193246038394</v>
      </c>
      <c r="V223" s="14">
        <f t="shared" si="19"/>
        <v>-4.047237077582352</v>
      </c>
      <c r="W223" s="14">
        <f t="shared" si="20"/>
        <v>-0.0004208016054390029</v>
      </c>
      <c r="X223" s="14">
        <f t="shared" si="21"/>
        <v>2.5908733164623214</v>
      </c>
      <c r="Y223" s="14">
        <f t="shared" si="22"/>
        <v>-0.016876311921016907</v>
      </c>
      <c r="Z223" s="15">
        <f t="shared" si="25"/>
        <v>-1.4699966814004481</v>
      </c>
    </row>
    <row r="224" spans="18:26" ht="12">
      <c r="R224" s="13">
        <v>84.88257586492011</v>
      </c>
      <c r="S224" s="13">
        <f t="shared" si="18"/>
        <v>0.01209371776666718</v>
      </c>
      <c r="T224" s="13">
        <f t="shared" si="23"/>
        <v>0.00014625622681138217</v>
      </c>
      <c r="U224" s="14">
        <f t="shared" si="24"/>
        <v>0.0038117622617654945</v>
      </c>
      <c r="V224" s="14">
        <f t="shared" si="19"/>
        <v>-3.80529981807409</v>
      </c>
      <c r="W224" s="14">
        <f t="shared" si="20"/>
        <v>-0.0004378015973021121</v>
      </c>
      <c r="X224" s="14">
        <f t="shared" si="21"/>
        <v>2.3879016831138387</v>
      </c>
      <c r="Y224" s="14">
        <f t="shared" si="22"/>
        <v>-0.017700306221939854</v>
      </c>
      <c r="Z224" s="15">
        <f t="shared" si="25"/>
        <v>-1.4317244805177278</v>
      </c>
    </row>
    <row r="225" spans="18:26" ht="12">
      <c r="R225" s="13">
        <v>86.58022738221852</v>
      </c>
      <c r="S225" s="13">
        <f t="shared" si="18"/>
        <v>0.012335592122000524</v>
      </c>
      <c r="T225" s="13">
        <f t="shared" si="23"/>
        <v>0.00015216490344805973</v>
      </c>
      <c r="U225" s="14">
        <f t="shared" si="24"/>
        <v>0.003965254746177038</v>
      </c>
      <c r="V225" s="14">
        <f t="shared" si="19"/>
        <v>-3.5706477150968112</v>
      </c>
      <c r="W225" s="14">
        <f t="shared" si="20"/>
        <v>-0.0004554883564260592</v>
      </c>
      <c r="X225" s="14">
        <f t="shared" si="21"/>
        <v>2.193918770453621</v>
      </c>
      <c r="Y225" s="14">
        <f t="shared" si="22"/>
        <v>-0.0185712128106843</v>
      </c>
      <c r="Z225" s="15">
        <f t="shared" si="25"/>
        <v>-1.3917903910641236</v>
      </c>
    </row>
    <row r="226" spans="18:26" ht="12">
      <c r="R226" s="13">
        <v>88.31183192986289</v>
      </c>
      <c r="S226" s="13">
        <f t="shared" si="18"/>
        <v>0.012582303964440534</v>
      </c>
      <c r="T226" s="13">
        <f t="shared" si="23"/>
        <v>0.0001583122844445383</v>
      </c>
      <c r="U226" s="14">
        <f t="shared" si="24"/>
        <v>0.004124906843770759</v>
      </c>
      <c r="V226" s="14">
        <f t="shared" si="19"/>
        <v>-3.343515722710322</v>
      </c>
      <c r="W226" s="14">
        <f t="shared" si="20"/>
        <v>-0.00047388962553363</v>
      </c>
      <c r="X226" s="14">
        <f t="shared" si="21"/>
        <v>2.0090123805739637</v>
      </c>
      <c r="Y226" s="14">
        <f t="shared" si="22"/>
        <v>-0.019492325738255545</v>
      </c>
      <c r="Z226" s="15">
        <f t="shared" si="25"/>
        <v>-1.3503446506563765</v>
      </c>
    </row>
    <row r="227" spans="18:26" ht="12">
      <c r="R227" s="13">
        <v>90.07806856846015</v>
      </c>
      <c r="S227" s="13">
        <f t="shared" si="18"/>
        <v>0.012833950043729347</v>
      </c>
      <c r="T227" s="13">
        <f t="shared" si="23"/>
        <v>0.00016470801294783043</v>
      </c>
      <c r="U227" s="14">
        <f t="shared" si="24"/>
        <v>0.004290963977872764</v>
      </c>
      <c r="V227" s="14">
        <f t="shared" si="19"/>
        <v>-3.124116525677678</v>
      </c>
      <c r="W227" s="14">
        <f t="shared" si="20"/>
        <v>-0.0004930342679312361</v>
      </c>
      <c r="X227" s="14">
        <f t="shared" si="21"/>
        <v>1.833227211801173</v>
      </c>
      <c r="Y227" s="14">
        <f t="shared" si="22"/>
        <v>-0.020467229298176903</v>
      </c>
      <c r="Z227" s="15">
        <f t="shared" si="25"/>
        <v>-1.3075586134647406</v>
      </c>
    </row>
    <row r="228" spans="18:26" ht="12">
      <c r="R228" s="13">
        <v>91.87962993982936</v>
      </c>
      <c r="S228" s="13">
        <f t="shared" si="18"/>
        <v>0.013090629044603933</v>
      </c>
      <c r="T228" s="13">
        <f t="shared" si="23"/>
        <v>0.00017136212164612033</v>
      </c>
      <c r="U228" s="14">
        <f t="shared" si="24"/>
        <v>0.004463681203880299</v>
      </c>
      <c r="V228" s="14">
        <f t="shared" si="19"/>
        <v>-2.912637532554868</v>
      </c>
      <c r="W228" s="14">
        <f t="shared" si="20"/>
        <v>-0.0005129523127704871</v>
      </c>
      <c r="X228" s="14">
        <f t="shared" si="21"/>
        <v>1.6665643711121731</v>
      </c>
      <c r="Y228" s="14">
        <f t="shared" si="22"/>
        <v>-0.02149982942460582</v>
      </c>
      <c r="Z228" s="15">
        <f t="shared" si="25"/>
        <v>-1.2636222619761908</v>
      </c>
    </row>
    <row r="229" spans="18:26" ht="12">
      <c r="R229" s="13">
        <v>93.71722253862595</v>
      </c>
      <c r="S229" s="13">
        <f t="shared" si="18"/>
        <v>0.01335244162549601</v>
      </c>
      <c r="T229" s="13">
        <f t="shared" si="23"/>
        <v>0.00017828504850276802</v>
      </c>
      <c r="U229" s="14">
        <f t="shared" si="24"/>
        <v>0.00464332357498165</v>
      </c>
      <c r="V229" s="14">
        <f t="shared" si="19"/>
        <v>-2.7092381223587836</v>
      </c>
      <c r="W229" s="14">
        <f t="shared" si="20"/>
        <v>-0.000533675002114542</v>
      </c>
      <c r="X229" s="14">
        <f t="shared" si="21"/>
        <v>1.5089816254387358</v>
      </c>
      <c r="Y229" s="14">
        <f t="shared" si="22"/>
        <v>-0.02259438913264944</v>
      </c>
      <c r="Z229" s="15">
        <f t="shared" si="25"/>
        <v>-1.21874123747983</v>
      </c>
    </row>
    <row r="230" spans="18:26" ht="12">
      <c r="R230" s="13">
        <v>95.59156698939847</v>
      </c>
      <c r="S230" s="13">
        <f t="shared" si="18"/>
        <v>0.013619490458005933</v>
      </c>
      <c r="T230" s="13">
        <f t="shared" si="23"/>
        <v>0.00018548765312568152</v>
      </c>
      <c r="U230" s="14">
        <f t="shared" si="24"/>
        <v>0.004830166520711998</v>
      </c>
      <c r="V230" s="14">
        <f t="shared" si="19"/>
        <v>-2.514047226589497</v>
      </c>
      <c r="W230" s="14">
        <f t="shared" si="20"/>
        <v>-0.0005552348399326945</v>
      </c>
      <c r="X230" s="14">
        <f t="shared" si="21"/>
        <v>1.3603943880980864</v>
      </c>
      <c r="Y230" s="14">
        <f t="shared" si="22"/>
        <v>-0.02375556860569361</v>
      </c>
      <c r="Z230" s="15">
        <f t="shared" si="25"/>
        <v>-1.173133475416325</v>
      </c>
    </row>
    <row r="231" spans="18:26" ht="12">
      <c r="R231" s="13">
        <v>97.50339832918644</v>
      </c>
      <c r="S231" s="13">
        <f t="shared" si="18"/>
        <v>0.01389188026716605</v>
      </c>
      <c r="T231" s="13">
        <f t="shared" si="23"/>
        <v>0.0001929812337977034</v>
      </c>
      <c r="U231" s="14">
        <f t="shared" si="24"/>
        <v>0.005024496238711151</v>
      </c>
      <c r="V231" s="14">
        <f t="shared" si="19"/>
        <v>-2.3271613217940086</v>
      </c>
      <c r="W231" s="14">
        <f t="shared" si="20"/>
        <v>-0.0005776656430445115</v>
      </c>
      <c r="X231" s="14">
        <f t="shared" si="21"/>
        <v>1.2206774088592738</v>
      </c>
      <c r="Y231" s="14">
        <f t="shared" si="22"/>
        <v>-0.024988470638469096</v>
      </c>
      <c r="Z231" s="15">
        <f t="shared" si="25"/>
        <v>-1.1270255529775373</v>
      </c>
    </row>
    <row r="232" spans="18:26" ht="12">
      <c r="R232" s="13">
        <v>99.45346629577017</v>
      </c>
      <c r="S232" s="13">
        <f t="shared" si="18"/>
        <v>0.014169717872509372</v>
      </c>
      <c r="T232" s="13">
        <f t="shared" si="23"/>
        <v>0.0002007775451946911</v>
      </c>
      <c r="U232" s="14">
        <f t="shared" si="24"/>
        <v>0.005226610099963835</v>
      </c>
      <c r="V232" s="14">
        <f t="shared" si="19"/>
        <v>-2.148642897398517</v>
      </c>
      <c r="W232" s="14">
        <f t="shared" si="20"/>
        <v>-0.0006010025941494135</v>
      </c>
      <c r="X232" s="14">
        <f t="shared" si="21"/>
        <v>1.089667110467758</v>
      </c>
      <c r="Y232" s="14">
        <f t="shared" si="22"/>
        <v>-0.026298692268078128</v>
      </c>
      <c r="Z232" s="15">
        <f t="shared" si="25"/>
        <v>-1.0806488716930227</v>
      </c>
    </row>
    <row r="233" spans="18:26" ht="12">
      <c r="R233" s="13">
        <v>101.44253562168558</v>
      </c>
      <c r="S233" s="13">
        <f t="shared" si="18"/>
        <v>0.01445311222995956</v>
      </c>
      <c r="T233" s="13">
        <f t="shared" si="23"/>
        <v>0.00020888881681904535</v>
      </c>
      <c r="U233" s="14">
        <f t="shared" si="24"/>
        <v>0.005436817068062538</v>
      </c>
      <c r="V233" s="14">
        <f t="shared" si="19"/>
        <v>-1.9785194495767229</v>
      </c>
      <c r="W233" s="14">
        <f t="shared" si="20"/>
        <v>-0.0006252822969639027</v>
      </c>
      <c r="X233" s="14">
        <f t="shared" si="21"/>
        <v>0.9671644923567726</v>
      </c>
      <c r="Y233" s="14">
        <f t="shared" si="22"/>
        <v>-0.027692383573537427</v>
      </c>
      <c r="Z233" s="15">
        <f t="shared" si="25"/>
        <v>-1.034235806022389</v>
      </c>
    </row>
    <row r="234" spans="18:26" ht="12">
      <c r="R234" s="13">
        <v>103.47138633411929</v>
      </c>
      <c r="S234" s="13">
        <f t="shared" si="18"/>
        <v>0.01474217447455875</v>
      </c>
      <c r="T234" s="13">
        <f t="shared" si="23"/>
        <v>0.0002173277721775622</v>
      </c>
      <c r="U234" s="14">
        <f t="shared" si="24"/>
        <v>0.005655438132617263</v>
      </c>
      <c r="V234" s="14">
        <f t="shared" si="19"/>
        <v>-1.8167830351215315</v>
      </c>
      <c r="W234" s="14">
        <f t="shared" si="20"/>
        <v>-0.0006505428336138763</v>
      </c>
      <c r="X234" s="14">
        <f t="shared" si="21"/>
        <v>0.8529385049884723</v>
      </c>
      <c r="Y234" s="14">
        <f t="shared" si="22"/>
        <v>-0.029176314802171532</v>
      </c>
      <c r="Z234" s="15">
        <f t="shared" si="25"/>
        <v>-0.9880159496362273</v>
      </c>
    </row>
    <row r="235" spans="18:26" ht="12">
      <c r="R235" s="13">
        <v>105.54081406080168</v>
      </c>
      <c r="S235" s="13">
        <f t="shared" si="18"/>
        <v>0.015037017964049928</v>
      </c>
      <c r="T235" s="13">
        <f t="shared" si="23"/>
        <v>0.0002261076487336467</v>
      </c>
      <c r="U235" s="14">
        <f t="shared" si="24"/>
        <v>0.00588280675736641</v>
      </c>
      <c r="V235" s="14">
        <f t="shared" si="19"/>
        <v>-1.6633904005389866</v>
      </c>
      <c r="W235" s="14">
        <f t="shared" si="20"/>
        <v>-0.0006768238243299862</v>
      </c>
      <c r="X235" s="14">
        <f t="shared" si="21"/>
        <v>0.7467297865730131</v>
      </c>
      <c r="Y235" s="14">
        <f t="shared" si="22"/>
        <v>-0.030757953195958976</v>
      </c>
      <c r="Z235" s="15">
        <f t="shared" si="25"/>
        <v>-0.942212584228896</v>
      </c>
    </row>
    <row r="236" spans="18:26" ht="12">
      <c r="R236" s="13">
        <v>107.65163034201771</v>
      </c>
      <c r="S236" s="13">
        <f t="shared" si="18"/>
        <v>0.015337758323330926</v>
      </c>
      <c r="T236" s="13">
        <f t="shared" si="23"/>
        <v>0.00023524221866513643</v>
      </c>
      <c r="U236" s="14">
        <f t="shared" si="24"/>
        <v>0.006119269343205502</v>
      </c>
      <c r="V236" s="14">
        <f t="shared" si="19"/>
        <v>-1.518263681950458</v>
      </c>
      <c r="W236" s="14">
        <f t="shared" si="20"/>
        <v>-0.0007041664895446331</v>
      </c>
      <c r="X236" s="14">
        <f t="shared" si="21"/>
        <v>0.6482546481213944</v>
      </c>
      <c r="Y236" s="14">
        <f t="shared" si="22"/>
        <v>-0.032445551150097174</v>
      </c>
      <c r="Z236" s="15">
        <f t="shared" si="25"/>
        <v>-0.8970394821254999</v>
      </c>
    </row>
    <row r="237" spans="18:26" ht="12">
      <c r="R237" s="13">
        <v>109.80466294885807</v>
      </c>
      <c r="S237" s="13">
        <f t="shared" si="18"/>
        <v>0.01564451348979754</v>
      </c>
      <c r="T237" s="13">
        <f t="shared" si="23"/>
        <v>0.00024474581046024605</v>
      </c>
      <c r="U237" s="14">
        <f t="shared" si="24"/>
        <v>0.006365185706535215</v>
      </c>
      <c r="V237" s="14">
        <f t="shared" si="19"/>
        <v>-1.381291652014454</v>
      </c>
      <c r="W237" s="14">
        <f t="shared" si="20"/>
        <v>-0.0007326137145113876</v>
      </c>
      <c r="X237" s="14">
        <f t="shared" si="21"/>
        <v>0.5572091927396912</v>
      </c>
      <c r="Y237" s="14">
        <f t="shared" si="22"/>
        <v>-0.034248247651667896</v>
      </c>
      <c r="Z237" s="15">
        <f t="shared" si="25"/>
        <v>-0.8526981349344069</v>
      </c>
    </row>
    <row r="238" spans="18:26" ht="12">
      <c r="R238" s="13">
        <v>112.00075620783522</v>
      </c>
      <c r="S238" s="13">
        <f t="shared" si="18"/>
        <v>0.015957403759593494</v>
      </c>
      <c r="T238" s="13">
        <f t="shared" si="23"/>
        <v>0.00025463333138544945</v>
      </c>
      <c r="U238" s="14">
        <f t="shared" si="24"/>
        <v>0.006620929573262657</v>
      </c>
      <c r="V238" s="14">
        <f t="shared" si="19"/>
        <v>-1.2523314720792484</v>
      </c>
      <c r="W238" s="14">
        <f t="shared" si="20"/>
        <v>-0.0007622101165143391</v>
      </c>
      <c r="X238" s="14">
        <f t="shared" si="21"/>
        <v>0.4732734602168449</v>
      </c>
      <c r="Y238" s="14">
        <f t="shared" si="22"/>
        <v>-0.03617618532996403</v>
      </c>
      <c r="Z238" s="15">
        <f t="shared" si="25"/>
        <v>-0.8093754777356192</v>
      </c>
    </row>
    <row r="239" spans="18:26" ht="12">
      <c r="R239" s="13">
        <v>114.24077133199194</v>
      </c>
      <c r="S239" s="13">
        <f t="shared" si="18"/>
        <v>0.016276551834785366</v>
      </c>
      <c r="T239" s="13">
        <f t="shared" si="23"/>
        <v>0.00026492029086048314</v>
      </c>
      <c r="U239" s="14">
        <f t="shared" si="24"/>
        <v>0.006886889088796977</v>
      </c>
      <c r="V239" s="14">
        <f t="shared" si="19"/>
        <v>-1.1312108921516426</v>
      </c>
      <c r="W239" s="14">
        <f t="shared" si="20"/>
        <v>-0.000793002114807706</v>
      </c>
      <c r="X239" s="14">
        <f t="shared" si="21"/>
        <v>0.3961154974271608</v>
      </c>
      <c r="Y239" s="14">
        <f t="shared" si="22"/>
        <v>-0.03824064591990606</v>
      </c>
      <c r="Z239" s="15">
        <f t="shared" si="25"/>
        <v>-0.7672421536703986</v>
      </c>
    </row>
    <row r="240" spans="18:26" ht="12">
      <c r="R240" s="13">
        <v>116.52558675863177</v>
      </c>
      <c r="S240" s="13">
        <f t="shared" si="18"/>
        <v>0.016602082871481072</v>
      </c>
      <c r="T240" s="13">
        <f t="shared" si="23"/>
        <v>0.00027562282477707004</v>
      </c>
      <c r="U240" s="14">
        <f t="shared" si="24"/>
        <v>0.007163467344252439</v>
      </c>
      <c r="V240" s="14">
        <f t="shared" si="19"/>
        <v>-1.0177308288100448</v>
      </c>
      <c r="W240" s="14">
        <f t="shared" si="20"/>
        <v>-0.0008250380033665294</v>
      </c>
      <c r="X240" s="14">
        <f t="shared" si="21"/>
        <v>0.3253952678105634</v>
      </c>
      <c r="Y240" s="14">
        <f t="shared" si="22"/>
        <v>-0.04045420751771189</v>
      </c>
      <c r="Z240" s="15">
        <f t="shared" si="25"/>
        <v>-0.7264513391763074</v>
      </c>
    </row>
    <row r="241" spans="18:26" ht="12">
      <c r="R241" s="13">
        <v>118.85609849380441</v>
      </c>
      <c r="S241" s="13">
        <f t="shared" si="18"/>
        <v>0.016934124528910695</v>
      </c>
      <c r="T241" s="13">
        <f t="shared" si="23"/>
        <v>0.0002867577207994387</v>
      </c>
      <c r="U241" s="14">
        <f t="shared" si="24"/>
        <v>0.007451082919313734</v>
      </c>
      <c r="V241" s="14">
        <f t="shared" si="19"/>
        <v>-0.9116682424340183</v>
      </c>
      <c r="W241" s="14">
        <f t="shared" si="20"/>
        <v>-0.0008583680265665805</v>
      </c>
      <c r="X241" s="14">
        <f t="shared" si="21"/>
        <v>0.2607683280713502</v>
      </c>
      <c r="Y241" s="14">
        <f t="shared" si="22"/>
        <v>-0.04283092771979824</v>
      </c>
      <c r="Z241" s="15">
        <f t="shared" si="25"/>
        <v>-0.6871381271897192</v>
      </c>
    </row>
    <row r="242" spans="18:26" ht="12">
      <c r="R242" s="13">
        <v>121.2332204636805</v>
      </c>
      <c r="S242" s="13">
        <f t="shared" si="18"/>
        <v>0.017272807019488908</v>
      </c>
      <c r="T242" s="13">
        <f t="shared" si="23"/>
        <v>0.0002983424446862446</v>
      </c>
      <c r="U242" s="14">
        <f t="shared" si="24"/>
        <v>0.007750170441909177</v>
      </c>
      <c r="V242" s="14">
        <f t="shared" si="19"/>
        <v>-0.8127792303108805</v>
      </c>
      <c r="W242" s="14">
        <f t="shared" si="20"/>
        <v>-0.0008930444579346997</v>
      </c>
      <c r="X242" s="14">
        <f t="shared" si="21"/>
        <v>0.20188921614662547</v>
      </c>
      <c r="Y242" s="14">
        <f t="shared" si="22"/>
        <v>-0.0453865576188619</v>
      </c>
      <c r="Z242" s="15">
        <f t="shared" si="25"/>
        <v>-0.6494194457991425</v>
      </c>
    </row>
    <row r="243" spans="18:26" ht="12">
      <c r="R243" s="13">
        <v>123.65788487295411</v>
      </c>
      <c r="S243" s="13">
        <f t="shared" si="18"/>
        <v>0.01761826315987869</v>
      </c>
      <c r="T243" s="13">
        <f t="shared" si="23"/>
        <v>0.0003103951676751004</v>
      </c>
      <c r="U243" s="14">
        <f t="shared" si="24"/>
        <v>0.008061181165036402</v>
      </c>
      <c r="V243" s="14">
        <f t="shared" si="19"/>
        <v>-0.7208022512676848</v>
      </c>
      <c r="W243" s="14">
        <f t="shared" si="20"/>
        <v>-0.0009291216820574988</v>
      </c>
      <c r="X243" s="14">
        <f t="shared" si="21"/>
        <v>0.1484145104468837</v>
      </c>
      <c r="Y243" s="14">
        <f t="shared" si="22"/>
        <v>-0.0481387927302066</v>
      </c>
      <c r="Z243" s="15">
        <f t="shared" si="25"/>
        <v>-0.6133944740680288</v>
      </c>
    </row>
    <row r="244" spans="18:26" ht="12">
      <c r="R244" s="13">
        <v>126.1310425704132</v>
      </c>
      <c r="S244" s="13">
        <f aca="true" t="shared" si="26" ref="S244:S307">2*PI()*R244/44100</f>
        <v>0.01797062842307626</v>
      </c>
      <c r="T244" s="13">
        <f t="shared" si="23"/>
        <v>0.0003229347949725748</v>
      </c>
      <c r="U244" s="14">
        <f t="shared" si="24"/>
        <v>0.008384583560868464</v>
      </c>
      <c r="V244" s="14">
        <f aca="true" t="shared" si="27" ref="V244:V307">10*LOG10(($G$121+$G$122+$G$123)^2+($G$121*$G$123*$T244-($G$122*($G$121+$G$123)+4*$G$121*$G$123))*$T244)-10*LOG10((1+$G$124+$G$125)^2+(1*$G$125*$T244-($G$124*(1+$G$125)+4*1*$G$125))*$T244)</f>
        <v>-0.6354614001602528</v>
      </c>
      <c r="W244" s="14">
        <f aca="true" t="shared" si="28" ref="W244:W307">10*LOG10(($G$126+$G$127+$G$128)^2+($G$126*$G$128*$T244-($G$127*($G$126+$G$128)+4*$G$126*$G$128))*$T244)-10*LOG10((1+$G$129+$G$130)^2+(1*$G$130*$T244-($G$129*(1+$G$130)+4*1*$G$130))*$T244)</f>
        <v>-0.0009666562798154033</v>
      </c>
      <c r="X244" s="14">
        <f aca="true" t="shared" si="29" ref="X244:X307">10*LOG10(($G$131+$G$132+$G$133)^2+($G$131*$G$133*$T244-($G$132*($G$131+$G$133)+4*$G$131*$G$133))*$T244)-10*LOG10((1+$G$134+$G$135)^2+(1*$G$135*$T244-($G$134*(1+$G$135)+4*1*$G$135))*$T244)</f>
        <v>0.1000055355370506</v>
      </c>
      <c r="Y244" s="14">
        <f aca="true" t="shared" si="30" ref="Y244:Y307">10*LOG10(($G$136+$G$137+$G$138)^2+($G$136*$G$138*$T244-($G$137*($G$136+$G$138)+4*$G$136*$G$138))*$T244)-10*LOG10((1+$G$139+$G$140)^2+(1*$G$140*$T244-($G$139*(1+$G$140)+4*1*$G$140))*$T244)</f>
        <v>-0.051107568296380634</v>
      </c>
      <c r="Z244" s="15">
        <f t="shared" si="25"/>
        <v>-0.5791455056385297</v>
      </c>
    </row>
    <row r="245" spans="18:26" ht="12">
      <c r="R245" s="13">
        <v>128.65366342182148</v>
      </c>
      <c r="S245" s="13">
        <f t="shared" si="26"/>
        <v>0.018330040991537788</v>
      </c>
      <c r="T245" s="13">
        <f aca="true" t="shared" si="31" ref="T245:T308">4*(SIN(S245/2))^2</f>
        <v>0.0003359809953942538</v>
      </c>
      <c r="U245" s="14">
        <f aca="true" t="shared" si="32" ref="U245:U308">10*LOG10(($G$116+$G$117+$G$118)^2+($G$116*$G$118*T245-($G$117*($G$116+$G$118)+4*$G$116*$G$118))*T245)-10*LOG10((1+$G$119+$G$120)^2+(1*$G$120*T245-($G$119*(1+$G$120)+4*1*$G$120))*T245)</f>
        <v>0.008720863932513367</v>
      </c>
      <c r="V245" s="14">
        <f t="shared" si="27"/>
        <v>-0.5564696563253904</v>
      </c>
      <c r="W245" s="14">
        <f t="shared" si="28"/>
        <v>-0.001005707117026411</v>
      </c>
      <c r="X245" s="14">
        <f t="shared" si="29"/>
        <v>0.05633070318479838</v>
      </c>
      <c r="Y245" s="14">
        <f t="shared" si="30"/>
        <v>-0.05431540814660707</v>
      </c>
      <c r="Z245" s="15">
        <f t="shared" si="25"/>
        <v>-0.5467392044717121</v>
      </c>
    </row>
    <row r="246" spans="18:26" ht="12">
      <c r="R246" s="13">
        <v>131.22673669025792</v>
      </c>
      <c r="S246" s="13">
        <f t="shared" si="26"/>
        <v>0.01869664181136855</v>
      </c>
      <c r="T246" s="13">
        <f t="shared" si="31"/>
        <v>0.0003495542322012462</v>
      </c>
      <c r="U246" s="14">
        <f t="shared" si="32"/>
        <v>0.009070527043391508</v>
      </c>
      <c r="V246" s="14">
        <f t="shared" si="27"/>
        <v>-0.4835320383171222</v>
      </c>
      <c r="W246" s="14">
        <f t="shared" si="28"/>
        <v>-0.0010463354366967437</v>
      </c>
      <c r="X246" s="14">
        <f t="shared" si="29"/>
        <v>0.017067489632950128</v>
      </c>
      <c r="Y246" s="14">
        <f t="shared" si="30"/>
        <v>-0.05778783847355129</v>
      </c>
      <c r="Z246" s="15">
        <f t="shared" si="25"/>
        <v>-0.5162281955510286</v>
      </c>
    </row>
    <row r="247" spans="18:26" ht="12">
      <c r="R247" s="13">
        <v>133.85127142406307</v>
      </c>
      <c r="S247" s="13">
        <f t="shared" si="26"/>
        <v>0.019070574647595914</v>
      </c>
      <c r="T247" s="13">
        <f t="shared" si="31"/>
        <v>0.0003636757951813879</v>
      </c>
      <c r="U247" s="14">
        <f t="shared" si="32"/>
        <v>0.009434096764536548</v>
      </c>
      <c r="V247" s="14">
        <f t="shared" si="27"/>
        <v>-0.41634860718845346</v>
      </c>
      <c r="W247" s="14">
        <f t="shared" si="28"/>
        <v>-0.001088604954965433</v>
      </c>
      <c r="X247" s="14">
        <f t="shared" si="29"/>
        <v>-0.018095940172102587</v>
      </c>
      <c r="Y247" s="14">
        <f t="shared" si="30"/>
        <v>-0.06155388066659384</v>
      </c>
      <c r="Z247" s="15">
        <f t="shared" si="25"/>
        <v>-0.48765293621757877</v>
      </c>
    </row>
    <row r="248" spans="18:26" ht="12">
      <c r="R248" s="13">
        <v>136.52829685254434</v>
      </c>
      <c r="S248" s="13">
        <f t="shared" si="26"/>
        <v>0.019451986140547835</v>
      </c>
      <c r="T248" s="13">
        <f t="shared" si="31"/>
        <v>0.0003783678340253433</v>
      </c>
      <c r="U248" s="14">
        <f t="shared" si="32"/>
        <v>0.009812116739780663</v>
      </c>
      <c r="V248" s="14">
        <f t="shared" si="27"/>
        <v>-0.35461727152008393</v>
      </c>
      <c r="W248" s="14">
        <f t="shared" si="28"/>
        <v>-0.0011325819609355747</v>
      </c>
      <c r="X248" s="14">
        <f t="shared" si="29"/>
        <v>-0.049459442905018136</v>
      </c>
      <c r="Y248" s="14">
        <f t="shared" si="30"/>
        <v>-0.0656466408916998</v>
      </c>
      <c r="Z248" s="15">
        <f t="shared" si="25"/>
        <v>-0.4610438205379568</v>
      </c>
    </row>
    <row r="249" spans="18:26" ht="12">
      <c r="R249" s="13">
        <v>139.25886278959524</v>
      </c>
      <c r="S249" s="13">
        <f t="shared" si="26"/>
        <v>0.019841025863358796</v>
      </c>
      <c r="T249" s="13">
        <f t="shared" si="31"/>
        <v>0.00039365339304981133</v>
      </c>
      <c r="U249" s="14">
        <f t="shared" si="32"/>
        <v>0.010205151068952034</v>
      </c>
      <c r="V249" s="14">
        <f t="shared" si="27"/>
        <v>-0.298036358663623</v>
      </c>
      <c r="W249" s="14">
        <f t="shared" si="28"/>
        <v>-0.00117833542052459</v>
      </c>
      <c r="X249" s="14">
        <f t="shared" si="29"/>
        <v>-0.07730991753656724</v>
      </c>
      <c r="Y249" s="14">
        <f t="shared" si="30"/>
        <v>-0.07010401867373872</v>
      </c>
      <c r="Z249" s="15">
        <f t="shared" si="25"/>
        <v>-0.4364234792255015</v>
      </c>
    </row>
    <row r="250" spans="18:26" ht="12">
      <c r="R250" s="13">
        <v>142.04404004538713</v>
      </c>
      <c r="S250" s="13">
        <f t="shared" si="26"/>
        <v>0.02023784638062597</v>
      </c>
      <c r="T250" s="13">
        <f t="shared" si="31"/>
        <v>0.0004095564473221639</v>
      </c>
      <c r="U250" s="14">
        <f t="shared" si="32"/>
        <v>0.010613785009010002</v>
      </c>
      <c r="V250" s="14">
        <f t="shared" si="27"/>
        <v>-0.24630692767273388</v>
      </c>
      <c r="W250" s="14">
        <f t="shared" si="28"/>
        <v>-0.0012259370845004725</v>
      </c>
      <c r="X250" s="14">
        <f t="shared" si="29"/>
        <v>-0.10192060832311256</v>
      </c>
      <c r="Y250" s="14">
        <f t="shared" si="30"/>
        <v>-0.07496956264605359</v>
      </c>
      <c r="Z250" s="15">
        <f t="shared" si="25"/>
        <v>-0.4138092507173905</v>
      </c>
    </row>
    <row r="251" spans="18:26" ht="12">
      <c r="R251" s="13">
        <v>144.88492084629488</v>
      </c>
      <c r="S251" s="13">
        <f t="shared" si="26"/>
        <v>0.020642603308238486</v>
      </c>
      <c r="T251" s="13">
        <f t="shared" si="31"/>
        <v>0.00042610194024301313</v>
      </c>
      <c r="U251" s="14">
        <f t="shared" si="32"/>
        <v>0.011038625693011284</v>
      </c>
      <c r="V251" s="14">
        <f t="shared" si="27"/>
        <v>-0.19913480967144892</v>
      </c>
      <c r="W251" s="14">
        <f t="shared" si="28"/>
        <v>-0.0012754616008772146</v>
      </c>
      <c r="X251" s="14">
        <f t="shared" si="29"/>
        <v>-0.12355065989245873</v>
      </c>
      <c r="Y251" s="14">
        <f t="shared" si="30"/>
        <v>-0.08029350933185952</v>
      </c>
      <c r="Z251" s="15">
        <f t="shared" si="25"/>
        <v>-0.3932158148036331</v>
      </c>
    </row>
    <row r="252" spans="18:26" ht="12">
      <c r="R252" s="13">
        <v>147.78261926322077</v>
      </c>
      <c r="S252" s="13">
        <f t="shared" si="26"/>
        <v>0.021055455374403256</v>
      </c>
      <c r="T252" s="13">
        <f t="shared" si="31"/>
        <v>0.0004433158226454854</v>
      </c>
      <c r="U252" s="14">
        <f t="shared" si="32"/>
        <v>0.01148030286686108</v>
      </c>
      <c r="V252" s="14">
        <f t="shared" si="27"/>
        <v>-0.1562323706102262</v>
      </c>
      <c r="W252" s="14">
        <f t="shared" si="28"/>
        <v>-0.0013269866318426082</v>
      </c>
      <c r="X252" s="14">
        <f t="shared" si="29"/>
        <v>-0.14244489341564304</v>
      </c>
      <c r="Y252" s="14">
        <f t="shared" si="30"/>
        <v>-0.08613405092130932</v>
      </c>
      <c r="Z252" s="15">
        <f t="shared" si="25"/>
        <v>-0.3746579987121601</v>
      </c>
    </row>
    <row r="253" spans="18:26" ht="12">
      <c r="R253" s="13">
        <v>150.73827164848518</v>
      </c>
      <c r="S253" s="13">
        <f t="shared" si="26"/>
        <v>0.021476564481891322</v>
      </c>
      <c r="T253" s="13">
        <f t="shared" si="31"/>
        <v>0.00046122509347234255</v>
      </c>
      <c r="U253" s="14">
        <f t="shared" si="32"/>
        <v>0.011939469643458267</v>
      </c>
      <c r="V253" s="14">
        <f t="shared" si="27"/>
        <v>-0.11731999926556114</v>
      </c>
      <c r="W253" s="14">
        <f t="shared" si="28"/>
        <v>-0.001380592975393391</v>
      </c>
      <c r="X253" s="14">
        <f t="shared" si="29"/>
        <v>-0.15883377318162673</v>
      </c>
      <c r="Y253" s="14">
        <f t="shared" si="30"/>
        <v>-0.09255889135887685</v>
      </c>
      <c r="Z253" s="15">
        <f t="shared" si="25"/>
        <v>-0.35815378713799984</v>
      </c>
    </row>
    <row r="254" spans="18:26" ht="12">
      <c r="R254" s="13">
        <v>153.7530370814549</v>
      </c>
      <c r="S254" s="13">
        <f t="shared" si="26"/>
        <v>0.021906095771529147</v>
      </c>
      <c r="T254" s="13">
        <f t="shared" si="31"/>
        <v>0.00047985784209455233</v>
      </c>
      <c r="U254" s="14">
        <f t="shared" si="32"/>
        <v>0.012416803274046373</v>
      </c>
      <c r="V254" s="14">
        <f t="shared" si="27"/>
        <v>-0.08212732984230797</v>
      </c>
      <c r="W254" s="14">
        <f t="shared" si="28"/>
        <v>-0.0014363646918829076</v>
      </c>
      <c r="X254" s="14">
        <f t="shared" si="29"/>
        <v>-0.17293353408020096</v>
      </c>
      <c r="Y254" s="14">
        <f t="shared" si="30"/>
        <v>-0.0996471678353501</v>
      </c>
      <c r="Z254" s="15">
        <f t="shared" si="25"/>
        <v>-0.34372759317569557</v>
      </c>
    </row>
    <row r="255" spans="18:26" ht="12">
      <c r="R255" s="13">
        <v>156.828097823084</v>
      </c>
      <c r="S255" s="13">
        <f t="shared" si="26"/>
        <v>0.02234421768695973</v>
      </c>
      <c r="T255" s="13">
        <f t="shared" si="31"/>
        <v>0.000499243292337462</v>
      </c>
      <c r="U255" s="14">
        <f t="shared" si="32"/>
        <v>0.012913005936212585</v>
      </c>
      <c r="V255" s="14">
        <f t="shared" si="27"/>
        <v>-0.05039421362502594</v>
      </c>
      <c r="W255" s="14">
        <f t="shared" si="28"/>
        <v>-0.001494389235660698</v>
      </c>
      <c r="X255" s="14">
        <f t="shared" si="29"/>
        <v>-0.18494644231135737</v>
      </c>
      <c r="Y255" s="14">
        <f t="shared" si="30"/>
        <v>-0.10749183865573286</v>
      </c>
      <c r="Z255" s="15">
        <f t="shared" si="25"/>
        <v>-0.3314138778915643</v>
      </c>
    </row>
    <row r="256" spans="18:26" ht="12">
      <c r="R256" s="13">
        <v>159.96465977954568</v>
      </c>
      <c r="S256" s="13">
        <f t="shared" si="26"/>
        <v>0.022791102040698927</v>
      </c>
      <c r="T256" s="13">
        <f t="shared" si="31"/>
        <v>0.0005194118482833935</v>
      </c>
      <c r="U256" s="14">
        <f t="shared" si="32"/>
        <v>0.013428805538147515</v>
      </c>
      <c r="V256" s="14">
        <f t="shared" si="27"/>
        <v>-0.02187145785998723</v>
      </c>
      <c r="W256" s="14">
        <f t="shared" si="28"/>
        <v>-0.0015547575920198398</v>
      </c>
      <c r="X256" s="14">
        <f t="shared" si="29"/>
        <v>-0.1950611638676918</v>
      </c>
      <c r="Y256" s="14">
        <f t="shared" si="30"/>
        <v>-0.1162026707948769</v>
      </c>
      <c r="Z256" s="15">
        <f t="shared" si="25"/>
        <v>-0.32126124457642824</v>
      </c>
    </row>
    <row r="257" spans="18:26" ht="12">
      <c r="R257" s="13">
        <v>163.1639529751366</v>
      </c>
      <c r="S257" s="13">
        <f t="shared" si="26"/>
        <v>0.023246924081512906</v>
      </c>
      <c r="T257" s="13">
        <f t="shared" si="31"/>
        <v>0.0005403951419222444</v>
      </c>
      <c r="U257" s="14">
        <f t="shared" si="32"/>
        <v>0.01396495653834151</v>
      </c>
      <c r="V257" s="14">
        <f t="shared" si="27"/>
        <v>0.003678647450897188</v>
      </c>
      <c r="W257" s="14">
        <f t="shared" si="28"/>
        <v>-0.00161756441966876</v>
      </c>
      <c r="X257" s="14">
        <f t="shared" si="29"/>
        <v>-0.20345321780798997</v>
      </c>
      <c r="Y257" s="14">
        <f t="shared" si="30"/>
        <v>-0.12591000465904045</v>
      </c>
      <c r="Z257" s="15">
        <f t="shared" si="25"/>
        <v>-0.3133371828974605</v>
      </c>
    </row>
    <row r="258" spans="18:26" ht="12">
      <c r="R258" s="13">
        <v>166.42723203463933</v>
      </c>
      <c r="S258" s="13">
        <f t="shared" si="26"/>
        <v>0.023711862563143164</v>
      </c>
      <c r="T258" s="13">
        <f t="shared" si="31"/>
        <v>0.0005622260827245524</v>
      </c>
      <c r="U258" s="14">
        <f t="shared" si="32"/>
        <v>0.01452224077999631</v>
      </c>
      <c r="V258" s="14">
        <f t="shared" si="27"/>
        <v>0.02648199274626961</v>
      </c>
      <c r="W258" s="14">
        <f t="shared" si="28"/>
        <v>-0.0016829081989317984</v>
      </c>
      <c r="X258" s="14">
        <f t="shared" si="29"/>
        <v>-0.21028549391223805</v>
      </c>
      <c r="Y258" s="14">
        <f t="shared" si="30"/>
        <v>-0.13676953458413266</v>
      </c>
      <c r="Z258" s="15">
        <f t="shared" si="25"/>
        <v>-0.3077337031690366</v>
      </c>
    </row>
    <row r="259" spans="18:26" ht="12">
      <c r="R259" s="13">
        <v>169.75577667533213</v>
      </c>
      <c r="S259" s="13">
        <f t="shared" si="26"/>
        <v>0.02418609981440603</v>
      </c>
      <c r="T259" s="13">
        <f t="shared" si="31"/>
        <v>0.0005849389092144772</v>
      </c>
      <c r="U259" s="14">
        <f t="shared" si="32"/>
        <v>0.015101468339171475</v>
      </c>
      <c r="V259" s="14">
        <f t="shared" si="27"/>
        <v>0.04675247949325012</v>
      </c>
      <c r="W259" s="14">
        <f t="shared" si="28"/>
        <v>-0.0017508913859334285</v>
      </c>
      <c r="X259" s="14">
        <f t="shared" si="29"/>
        <v>-0.2157088168726773</v>
      </c>
      <c r="Y259" s="14">
        <f t="shared" si="30"/>
        <v>-0.14896842867663906</v>
      </c>
      <c r="Z259" s="15">
        <f t="shared" si="25"/>
        <v>-0.3045741891028282</v>
      </c>
    </row>
    <row r="260" spans="18:26" ht="12">
      <c r="R260" s="13">
        <v>173.15089220883877</v>
      </c>
      <c r="S260" s="13">
        <f t="shared" si="26"/>
        <v>0.02466982181069415</v>
      </c>
      <c r="T260" s="13">
        <f t="shared" si="31"/>
        <v>0.0006085692426232603</v>
      </c>
      <c r="U260" s="14">
        <f t="shared" si="32"/>
        <v>0.01570347838556785</v>
      </c>
      <c r="V260" s="14">
        <f t="shared" si="27"/>
        <v>0.0646919958089569</v>
      </c>
      <c r="W260" s="14">
        <f t="shared" si="28"/>
        <v>-0.0018216205729881807</v>
      </c>
      <c r="X260" s="14">
        <f t="shared" si="29"/>
        <v>-0.21986254164930585</v>
      </c>
      <c r="Y260" s="14">
        <f t="shared" si="30"/>
        <v>-0.16273323152717012</v>
      </c>
      <c r="Z260" s="15">
        <f t="shared" si="25"/>
        <v>-0.3040219195549394</v>
      </c>
    </row>
    <row r="261" spans="18:26" ht="12">
      <c r="R261" s="13">
        <v>176.61391005301556</v>
      </c>
      <c r="S261" s="13">
        <f t="shared" si="26"/>
        <v>0.025163218246908037</v>
      </c>
      <c r="T261" s="13">
        <f t="shared" si="31"/>
        <v>0.0006331541427069643</v>
      </c>
      <c r="U261" s="14">
        <f t="shared" si="32"/>
        <v>0.01632914005457664</v>
      </c>
      <c r="V261" s="14">
        <f t="shared" si="27"/>
        <v>0.08049051557532039</v>
      </c>
      <c r="W261" s="14">
        <f t="shared" si="28"/>
        <v>-0.0018952066554422942</v>
      </c>
      <c r="X261" s="14">
        <f t="shared" si="29"/>
        <v>-0.2228751669459399</v>
      </c>
      <c r="Y261" s="14">
        <f t="shared" si="30"/>
        <v>-0.17834016434154876</v>
      </c>
      <c r="Z261" s="15">
        <f t="shared" si="25"/>
        <v>-0.3062908823130339</v>
      </c>
    </row>
    <row r="262" spans="18:26" ht="12">
      <c r="R262" s="13">
        <v>180.14618825407587</v>
      </c>
      <c r="S262" s="13">
        <f t="shared" si="26"/>
        <v>0.025666482611846193</v>
      </c>
      <c r="T262" s="13">
        <f t="shared" si="31"/>
        <v>0.0006587321658156504</v>
      </c>
      <c r="U262" s="14">
        <f t="shared" si="32"/>
        <v>0.016979353329002578</v>
      </c>
      <c r="V262" s="14">
        <f t="shared" si="27"/>
        <v>0.09432630074689996</v>
      </c>
      <c r="W262" s="14">
        <f t="shared" si="28"/>
        <v>-0.001971765005253978</v>
      </c>
      <c r="X262" s="14">
        <f t="shared" si="29"/>
        <v>-0.22486495590641198</v>
      </c>
      <c r="Y262" s="14">
        <f t="shared" si="30"/>
        <v>-0.19612868392654548</v>
      </c>
      <c r="Z262" s="15">
        <f t="shared" si="25"/>
        <v>-0.3116597507623089</v>
      </c>
    </row>
    <row r="263" spans="18:26" ht="12">
      <c r="R263" s="13">
        <v>183.7491120191574</v>
      </c>
      <c r="S263" s="13">
        <f t="shared" si="26"/>
        <v>0.02617981226408312</v>
      </c>
      <c r="T263" s="13">
        <f t="shared" si="31"/>
        <v>0.0006853434253046611</v>
      </c>
      <c r="U263" s="14">
        <f t="shared" si="32"/>
        <v>0.01765504992889788</v>
      </c>
      <c r="V263" s="14">
        <f t="shared" si="27"/>
        <v>0.10636618808300824</v>
      </c>
      <c r="W263" s="14">
        <f t="shared" si="28"/>
        <v>-0.002051415651541433</v>
      </c>
      <c r="X263" s="14">
        <f t="shared" si="29"/>
        <v>-0.2259405550708209</v>
      </c>
      <c r="Y263" s="14">
        <f t="shared" si="30"/>
        <v>-0.2165195231080972</v>
      </c>
      <c r="Z263" s="15">
        <f t="shared" si="25"/>
        <v>-0.3204902558185534</v>
      </c>
    </row>
    <row r="264" spans="18:26" ht="12">
      <c r="R264" s="13">
        <v>187.42409425954054</v>
      </c>
      <c r="S264" s="13">
        <f t="shared" si="26"/>
        <v>0.02670340850936478</v>
      </c>
      <c r="T264" s="13">
        <f t="shared" si="31"/>
        <v>0.0007130296543823033</v>
      </c>
      <c r="U264" s="14">
        <f t="shared" si="32"/>
        <v>0.018357194207275995</v>
      </c>
      <c r="V264" s="14">
        <f t="shared" si="27"/>
        <v>0.11676594324141831</v>
      </c>
      <c r="W264" s="14">
        <f t="shared" si="28"/>
        <v>-0.0021342834684237033</v>
      </c>
      <c r="X264" s="14">
        <f t="shared" si="29"/>
        <v>-0.22620160435890568</v>
      </c>
      <c r="Y264" s="14">
        <f t="shared" si="30"/>
        <v>-0.24003897087212778</v>
      </c>
      <c r="Z264" s="15">
        <f t="shared" si="25"/>
        <v>-0.33325172125076286</v>
      </c>
    </row>
    <row r="265" spans="18:26" ht="12">
      <c r="R265" s="13">
        <v>191.17257614473135</v>
      </c>
      <c r="S265" s="13">
        <f t="shared" si="26"/>
        <v>0.02723747667955208</v>
      </c>
      <c r="T265" s="13">
        <f t="shared" si="31"/>
        <v>0.0007418342714920192</v>
      </c>
      <c r="U265" s="14">
        <f t="shared" si="32"/>
        <v>0.019086784049427763</v>
      </c>
      <c r="V265" s="14">
        <f t="shared" si="27"/>
        <v>0.12567066696014706</v>
      </c>
      <c r="W265" s="14">
        <f t="shared" si="28"/>
        <v>-0.002220498370399504</v>
      </c>
      <c r="X265" s="14">
        <f t="shared" si="29"/>
        <v>-0.22573933236542842</v>
      </c>
      <c r="Y265" s="14">
        <f t="shared" si="30"/>
        <v>-0.2673519571671932</v>
      </c>
      <c r="Z265" s="15">
        <f t="shared" si="25"/>
        <v>-0.3505543368934463</v>
      </c>
    </row>
    <row r="266" spans="18:26" ht="12">
      <c r="R266" s="13">
        <v>194.99602766762598</v>
      </c>
      <c r="S266" s="13">
        <f t="shared" si="26"/>
        <v>0.027782226213143118</v>
      </c>
      <c r="T266" s="13">
        <f t="shared" si="31"/>
        <v>0.0007718024483310572</v>
      </c>
      <c r="U266" s="14">
        <f t="shared" si="32"/>
        <v>0.019844851773427763</v>
      </c>
      <c r="V266" s="14">
        <f t="shared" si="27"/>
        <v>0.1332152398508768</v>
      </c>
      <c r="W266" s="14">
        <f t="shared" si="28"/>
        <v>-0.0023101955156112908</v>
      </c>
      <c r="X266" s="14">
        <f t="shared" si="29"/>
        <v>-0.22463713256826168</v>
      </c>
      <c r="Y266" s="14">
        <f t="shared" si="30"/>
        <v>-0.2993077415306402</v>
      </c>
      <c r="Z266" s="15">
        <f t="shared" si="25"/>
        <v>-0.3731949779902086</v>
      </c>
    </row>
    <row r="267" spans="18:26" ht="12">
      <c r="R267" s="13">
        <v>198.8959482209785</v>
      </c>
      <c r="S267" s="13">
        <f t="shared" si="26"/>
        <v>0.028337870737405988</v>
      </c>
      <c r="T267" s="13">
        <f t="shared" si="31"/>
        <v>0.0008029811806117619</v>
      </c>
      <c r="U267" s="14">
        <f t="shared" si="32"/>
        <v>0.020632465028533886</v>
      </c>
      <c r="V267" s="14">
        <f t="shared" si="27"/>
        <v>0.13952479407787166</v>
      </c>
      <c r="W267" s="14">
        <f t="shared" si="28"/>
        <v>-0.002403515517274357</v>
      </c>
      <c r="X267" s="14">
        <f t="shared" si="29"/>
        <v>-0.22297111717556106</v>
      </c>
      <c r="Y267" s="14">
        <f t="shared" si="30"/>
        <v>-0.33700392579756766</v>
      </c>
      <c r="Z267" s="15">
        <f t="shared" si="25"/>
        <v>-0.40222129938399753</v>
      </c>
    </row>
    <row r="268" spans="18:26" ht="12">
      <c r="R268" s="13">
        <v>202.8738671853981</v>
      </c>
      <c r="S268" s="13">
        <f t="shared" si="26"/>
        <v>0.028904628152154103</v>
      </c>
      <c r="T268" s="13">
        <f t="shared" si="31"/>
        <v>0.0008354193616758245</v>
      </c>
      <c r="U268" s="14">
        <f t="shared" si="32"/>
        <v>0.021450727688414162</v>
      </c>
      <c r="V268" s="14">
        <f t="shared" si="27"/>
        <v>0.14471520185723818</v>
      </c>
      <c r="W268" s="14">
        <f t="shared" si="28"/>
        <v>-0.002500604663626227</v>
      </c>
      <c r="X268" s="14">
        <f t="shared" si="29"/>
        <v>-0.22081064629228564</v>
      </c>
      <c r="Y268" s="14">
        <f t="shared" si="30"/>
        <v>-0.38187755684269575</v>
      </c>
      <c r="Z268" s="15">
        <f t="shared" si="25"/>
        <v>-0.4390228782529553</v>
      </c>
    </row>
    <row r="269" spans="18:26" ht="12">
      <c r="R269" s="13">
        <v>206.93134452910607</v>
      </c>
      <c r="S269" s="13">
        <f t="shared" si="26"/>
        <v>0.029482720715197194</v>
      </c>
      <c r="T269" s="13">
        <f t="shared" si="31"/>
        <v>0.0008691678590763023</v>
      </c>
      <c r="U269" s="14">
        <f t="shared" si="32"/>
        <v>0.02230078073534969</v>
      </c>
      <c r="V269" s="14">
        <f t="shared" si="27"/>
        <v>0.14889357225750643</v>
      </c>
      <c r="W269" s="14">
        <f t="shared" si="28"/>
        <v>-0.00260161514670898</v>
      </c>
      <c r="X269" s="14">
        <f t="shared" si="29"/>
        <v>-0.21821883088154692</v>
      </c>
      <c r="Y269" s="14">
        <f t="shared" si="30"/>
        <v>-0.435837009975252</v>
      </c>
      <c r="Z269" s="15">
        <f t="shared" si="25"/>
        <v>-0.48546310301065176</v>
      </c>
    </row>
    <row r="270" spans="18:26" ht="12">
      <c r="R270" s="13">
        <v>211.0699714196882</v>
      </c>
      <c r="S270" s="13">
        <f t="shared" si="26"/>
        <v>0.03007237512950113</v>
      </c>
      <c r="T270" s="13">
        <f t="shared" si="31"/>
        <v>0.0009042795942467637</v>
      </c>
      <c r="U270" s="14">
        <f t="shared" si="32"/>
        <v>0.02318380313110424</v>
      </c>
      <c r="V270" s="14">
        <f t="shared" si="27"/>
        <v>0.15215874919628192</v>
      </c>
      <c r="W270" s="14">
        <f t="shared" si="28"/>
        <v>-0.002706705300377976</v>
      </c>
      <c r="X270" s="14">
        <f t="shared" si="29"/>
        <v>-0.21525300865454255</v>
      </c>
      <c r="Y270" s="14">
        <f t="shared" si="30"/>
        <v>-0.5014564763696328</v>
      </c>
      <c r="Z270" s="15">
        <f t="shared" si="25"/>
        <v>-0.5440736379971671</v>
      </c>
    </row>
    <row r="271" spans="18:26" ht="12">
      <c r="R271" s="13">
        <v>215.29137084808195</v>
      </c>
      <c r="S271" s="13">
        <f t="shared" si="26"/>
        <v>0.030673822632091157</v>
      </c>
      <c r="T271" s="13">
        <f t="shared" si="31"/>
        <v>0.0009408096253817429</v>
      </c>
      <c r="U271" s="14">
        <f t="shared" si="32"/>
        <v>0.024101012669909494</v>
      </c>
      <c r="V271" s="14">
        <f t="shared" si="27"/>
        <v>0.15460180480049956</v>
      </c>
      <c r="W271" s="14">
        <f t="shared" si="28"/>
        <v>-0.0028160398478558335</v>
      </c>
      <c r="X271" s="14">
        <f t="shared" si="29"/>
        <v>-0.21196519255687463</v>
      </c>
      <c r="Y271" s="14">
        <f t="shared" si="30"/>
        <v>-0.5822686158973127</v>
      </c>
      <c r="Z271" s="15">
        <f t="shared" si="25"/>
        <v>-0.6183470308316341</v>
      </c>
    </row>
    <row r="272" spans="18:26" ht="12">
      <c r="R272" s="13">
        <v>219.5971982650436</v>
      </c>
      <c r="S272" s="13">
        <f t="shared" si="26"/>
        <v>0.03128729908473298</v>
      </c>
      <c r="T272" s="13">
        <f t="shared" si="31"/>
        <v>0.0009788152336576172</v>
      </c>
      <c r="U272" s="14">
        <f t="shared" si="32"/>
        <v>0.025053666808179997</v>
      </c>
      <c r="V272" s="14">
        <f t="shared" si="27"/>
        <v>0.15630652342988327</v>
      </c>
      <c r="W272" s="14">
        <f t="shared" si="28"/>
        <v>-0.0029297901592642006</v>
      </c>
      <c r="X272" s="14">
        <f t="shared" si="29"/>
        <v>-0.20840249194884564</v>
      </c>
      <c r="Y272" s="14">
        <f t="shared" si="30"/>
        <v>-0.68321471189563</v>
      </c>
      <c r="Z272" s="15">
        <f t="shared" si="25"/>
        <v>-0.7131868037656766</v>
      </c>
    </row>
    <row r="273" spans="18:26" ht="12">
      <c r="R273" s="13">
        <v>223.98914223034447</v>
      </c>
      <c r="S273" s="13">
        <f t="shared" si="26"/>
        <v>0.03191304506642764</v>
      </c>
      <c r="T273" s="13">
        <f t="shared" si="31"/>
        <v>0.0010183560129282201</v>
      </c>
      <c r="U273" s="14">
        <f t="shared" si="32"/>
        <v>0.026043063465042593</v>
      </c>
      <c r="V273" s="14">
        <f t="shared" si="27"/>
        <v>0.1573498726558995</v>
      </c>
      <c r="W273" s="14">
        <f t="shared" si="28"/>
        <v>-0.00304813451949304</v>
      </c>
      <c r="X273" s="14">
        <f t="shared" si="29"/>
        <v>-0.20460750691442087</v>
      </c>
      <c r="Y273" s="14">
        <f t="shared" si="30"/>
        <v>-0.8113538898366102</v>
      </c>
      <c r="Z273" s="15">
        <f t="shared" si="25"/>
        <v>-0.835616595149582</v>
      </c>
    </row>
    <row r="274" spans="18:26" ht="12">
      <c r="R274" s="13">
        <v>228.46892507495136</v>
      </c>
      <c r="S274" s="13">
        <f t="shared" si="26"/>
        <v>0.03255130596775619</v>
      </c>
      <c r="T274" s="13">
        <f t="shared" si="31"/>
        <v>0.0010594939630348527</v>
      </c>
      <c r="U274" s="14">
        <f t="shared" si="32"/>
        <v>0.027070541787242774</v>
      </c>
      <c r="V274" s="14">
        <f t="shared" si="27"/>
        <v>0.15780245835026818</v>
      </c>
      <c r="W274" s="14">
        <f t="shared" si="28"/>
        <v>-0.0031712584068390726</v>
      </c>
      <c r="X274" s="14">
        <f t="shared" si="29"/>
        <v>-0.20061869639535246</v>
      </c>
      <c r="Y274" s="14">
        <f t="shared" si="30"/>
        <v>-0.9770100659076917</v>
      </c>
      <c r="Z274" s="15">
        <f t="shared" si="25"/>
        <v>-0.9959270205723723</v>
      </c>
    </row>
    <row r="275" spans="18:26" ht="12">
      <c r="R275" s="13">
        <v>233.0383035764504</v>
      </c>
      <c r="S275" s="13">
        <f t="shared" si="26"/>
        <v>0.03320233208711132</v>
      </c>
      <c r="T275" s="13">
        <f t="shared" si="31"/>
        <v>0.001102293586875956</v>
      </c>
      <c r="U275" s="14">
        <f t="shared" si="32"/>
        <v>0.02813748287103124</v>
      </c>
      <c r="V275" s="14">
        <f t="shared" si="27"/>
        <v>0.15772896177603712</v>
      </c>
      <c r="W275" s="14">
        <f t="shared" si="28"/>
        <v>-0.0032993547828557013</v>
      </c>
      <c r="X275" s="14">
        <f t="shared" si="29"/>
        <v>-0.1964707210412513</v>
      </c>
      <c r="Y275" s="14">
        <f t="shared" si="30"/>
        <v>-1.1956803701143741</v>
      </c>
      <c r="Z275" s="15">
        <f t="shared" si="25"/>
        <v>-1.2095840012914127</v>
      </c>
    </row>
    <row r="276" spans="18:26" ht="12">
      <c r="R276" s="13">
        <v>237.69906964797943</v>
      </c>
      <c r="S276" s="13">
        <f t="shared" si="26"/>
        <v>0.03386637872885355</v>
      </c>
      <c r="T276" s="13">
        <f t="shared" si="31"/>
        <v>0.0011468219913874933</v>
      </c>
      <c r="U276" s="14">
        <f t="shared" si="32"/>
        <v>0.029245310433001492</v>
      </c>
      <c r="V276" s="14">
        <f t="shared" si="27"/>
        <v>0.15718855720131586</v>
      </c>
      <c r="W276" s="14">
        <f t="shared" si="28"/>
        <v>-0.0034326243938229695</v>
      </c>
      <c r="X276" s="14">
        <f t="shared" si="29"/>
        <v>-0.19219476180864348</v>
      </c>
      <c r="Y276" s="14">
        <f t="shared" si="30"/>
        <v>-1.4913110145671595</v>
      </c>
      <c r="Z276" s="15">
        <f t="shared" si="25"/>
        <v>-1.5005045331353086</v>
      </c>
    </row>
    <row r="277" spans="18:26" ht="12">
      <c r="R277" s="13">
        <v>242.45305104093902</v>
      </c>
      <c r="S277" s="13">
        <f t="shared" si="26"/>
        <v>0.03454370630343062</v>
      </c>
      <c r="T277" s="13">
        <f t="shared" si="31"/>
        <v>0.0011931489925911505</v>
      </c>
      <c r="U277" s="14">
        <f t="shared" si="32"/>
        <v>0.030395491420875942</v>
      </c>
      <c r="V277" s="14">
        <f t="shared" si="27"/>
        <v>0.15623530908187178</v>
      </c>
      <c r="W277" s="14">
        <f t="shared" si="28"/>
        <v>-0.0035712760843473745</v>
      </c>
      <c r="X277" s="14">
        <f t="shared" si="29"/>
        <v>-0.18781881543801404</v>
      </c>
      <c r="Y277" s="14">
        <f t="shared" si="30"/>
        <v>-1.9021178717457587</v>
      </c>
      <c r="Z277" s="15">
        <f t="shared" si="25"/>
        <v>-1.9068771627653724</v>
      </c>
    </row>
    <row r="278" spans="18:26" ht="12">
      <c r="R278" s="13">
        <v>247.3021120617578</v>
      </c>
      <c r="S278" s="13">
        <f t="shared" si="26"/>
        <v>0.035234580429499236</v>
      </c>
      <c r="T278" s="13">
        <f t="shared" si="31"/>
        <v>0.001241347224873715</v>
      </c>
      <c r="U278" s="14">
        <f t="shared" si="32"/>
        <v>0.03158953655429286</v>
      </c>
      <c r="V278" s="14">
        <f t="shared" si="27"/>
        <v>0.15491854829446794</v>
      </c>
      <c r="W278" s="14">
        <f t="shared" si="28"/>
        <v>-0.003715527123548945</v>
      </c>
      <c r="X278" s="14">
        <f t="shared" si="29"/>
        <v>-0.18336796799813726</v>
      </c>
      <c r="Y278" s="14">
        <f t="shared" si="30"/>
        <v>-2.491350610986231</v>
      </c>
      <c r="Z278" s="15">
        <f t="shared" si="25"/>
        <v>-2.4919260212591565</v>
      </c>
    </row>
    <row r="279" spans="18:26" ht="12">
      <c r="R279" s="13">
        <v>252.24815430299296</v>
      </c>
      <c r="S279" s="13">
        <f t="shared" si="26"/>
        <v>0.03593927203808922</v>
      </c>
      <c r="T279" s="13">
        <f t="shared" si="31"/>
        <v>0.001291492254667519</v>
      </c>
      <c r="U279" s="14">
        <f t="shared" si="32"/>
        <v>0.03282900078457729</v>
      </c>
      <c r="V279" s="14">
        <f t="shared" si="27"/>
        <v>0.15328322725996202</v>
      </c>
      <c r="W279" s="14">
        <f t="shared" si="28"/>
        <v>-0.003865603544332963</v>
      </c>
      <c r="X279" s="14">
        <f t="shared" si="29"/>
        <v>-0.17886464771739696</v>
      </c>
      <c r="Y279" s="14">
        <f t="shared" si="30"/>
        <v>-3.3682610685213206</v>
      </c>
      <c r="Z279" s="15">
        <f t="shared" si="25"/>
        <v>-3.364879091738511</v>
      </c>
    </row>
    <row r="280" spans="18:26" ht="12">
      <c r="R280" s="13">
        <v>257.29311738905284</v>
      </c>
      <c r="S280" s="13">
        <f t="shared" si="26"/>
        <v>0.036658057478851</v>
      </c>
      <c r="T280" s="13">
        <f t="shared" si="31"/>
        <v>0.0013436626987086168</v>
      </c>
      <c r="U280" s="14">
        <f t="shared" si="32"/>
        <v>0.03411548366138817</v>
      </c>
      <c r="V280" s="14">
        <f t="shared" si="27"/>
        <v>0.15137025408310478</v>
      </c>
      <c r="W280" s="14">
        <f t="shared" si="28"/>
        <v>-0.004021740496294335</v>
      </c>
      <c r="X280" s="14">
        <f t="shared" si="29"/>
        <v>-0.17432885832865708</v>
      </c>
      <c r="Y280" s="14">
        <f t="shared" si="30"/>
        <v>-4.732484654100858</v>
      </c>
      <c r="Z280" s="15">
        <f t="shared" si="25"/>
        <v>-4.725349515181317</v>
      </c>
    </row>
    <row r="281" spans="18:26" ht="12">
      <c r="R281" s="13">
        <v>262.4389797368339</v>
      </c>
      <c r="S281" s="13">
        <f t="shared" si="26"/>
        <v>0.03739121862842803</v>
      </c>
      <c r="T281" s="13">
        <f t="shared" si="31"/>
        <v>0.0013979403470563982</v>
      </c>
      <c r="U281" s="14">
        <f t="shared" si="32"/>
        <v>0.03545062959267753</v>
      </c>
      <c r="V281" s="14">
        <f t="shared" si="27"/>
        <v>0.14921680606376952</v>
      </c>
      <c r="W281" s="14">
        <f t="shared" si="28"/>
        <v>-0.004184182612774201</v>
      </c>
      <c r="X281" s="14">
        <f t="shared" si="29"/>
        <v>-0.16977839414326468</v>
      </c>
      <c r="Y281" s="14">
        <f t="shared" si="30"/>
        <v>-6.984687529351191</v>
      </c>
      <c r="Z281" s="15">
        <f t="shared" si="25"/>
        <v>-6.973982670450783</v>
      </c>
    </row>
    <row r="282" spans="18:26" ht="12">
      <c r="R282" s="13">
        <v>267.6877593315706</v>
      </c>
      <c r="S282" s="13">
        <f t="shared" si="26"/>
        <v>0.03813904300099659</v>
      </c>
      <c r="T282" s="13">
        <f t="shared" si="31"/>
        <v>0.0014544102910656713</v>
      </c>
      <c r="U282" s="14">
        <f t="shared" si="32"/>
        <v>0.03683612798323921</v>
      </c>
      <c r="V282" s="14">
        <f t="shared" si="27"/>
        <v>0.14685662311267578</v>
      </c>
      <c r="W282" s="14">
        <f t="shared" si="28"/>
        <v>-0.004353184392631881</v>
      </c>
      <c r="X282" s="14">
        <f t="shared" si="29"/>
        <v>-0.16522903804359856</v>
      </c>
      <c r="Y282" s="14">
        <f t="shared" si="30"/>
        <v>-11.116888235595482</v>
      </c>
      <c r="Z282" s="15">
        <f t="shared" si="25"/>
        <v>-11.102777706935797</v>
      </c>
    </row>
    <row r="283" spans="18:26" ht="12">
      <c r="R283" s="13">
        <v>273.041514518202</v>
      </c>
      <c r="S283" s="13">
        <f t="shared" si="26"/>
        <v>0.038901823861016524</v>
      </c>
      <c r="T283" s="13">
        <f t="shared" si="31"/>
        <v>0.001513161056509847</v>
      </c>
      <c r="U283" s="14">
        <f t="shared" si="32"/>
        <v>0.03827371323538742</v>
      </c>
      <c r="V283" s="14">
        <f t="shared" si="27"/>
        <v>0.14432028173830247</v>
      </c>
      <c r="W283" s="14">
        <f t="shared" si="28"/>
        <v>-0.004529010597347671</v>
      </c>
      <c r="X283" s="14">
        <f t="shared" si="29"/>
        <v>-0.16069474354793556</v>
      </c>
      <c r="Y283" s="14">
        <f t="shared" si="30"/>
        <v>-21.693881313298945</v>
      </c>
      <c r="Z283" s="15">
        <f t="shared" si="25"/>
        <v>-21.67651107247054</v>
      </c>
    </row>
    <row r="284" spans="18:26" ht="12">
      <c r="R284" s="13">
        <v>278.5023448085661</v>
      </c>
      <c r="S284" s="13">
        <f t="shared" si="26"/>
        <v>0.03967986033823685</v>
      </c>
      <c r="T284" s="13">
        <f t="shared" si="31"/>
        <v>0.001574284742061765</v>
      </c>
      <c r="U284" s="14">
        <f t="shared" si="32"/>
        <v>0.03976516459370316</v>
      </c>
      <c r="V284" s="14">
        <f t="shared" si="27"/>
        <v>0.14163545037025926</v>
      </c>
      <c r="W284" s="14">
        <f t="shared" si="28"/>
        <v>-0.004711936664012484</v>
      </c>
      <c r="X284" s="14">
        <f t="shared" si="29"/>
        <v>-0.15618780205707594</v>
      </c>
      <c r="Y284" s="14">
        <f t="shared" si="30"/>
        <v>-17.23140846743098</v>
      </c>
      <c r="Z284" s="15">
        <f t="shared" si="25"/>
        <v>-17.210907591188107</v>
      </c>
    </row>
    <row r="285" spans="18:26" ht="12">
      <c r="R285" s="13">
        <v>284.0723917047374</v>
      </c>
      <c r="S285" s="13">
        <f t="shared" si="26"/>
        <v>0.04047345754500159</v>
      </c>
      <c r="T285" s="13">
        <f t="shared" si="31"/>
        <v>0.0016378771633469246</v>
      </c>
      <c r="U285" s="14">
        <f t="shared" si="32"/>
        <v>0.04131230581404921</v>
      </c>
      <c r="V285" s="14">
        <f t="shared" si="27"/>
        <v>0.13882712685240506</v>
      </c>
      <c r="W285" s="14">
        <f t="shared" si="28"/>
        <v>-0.004902249134898007</v>
      </c>
      <c r="X285" s="14">
        <f t="shared" si="29"/>
        <v>-0.15171899634268726</v>
      </c>
      <c r="Y285" s="14">
        <f t="shared" si="30"/>
        <v>-9.661089656927174</v>
      </c>
      <c r="Z285" s="15">
        <f t="shared" si="25"/>
        <v>-9.637571469738305</v>
      </c>
    </row>
    <row r="286" spans="18:26" ht="12">
      <c r="R286" s="13">
        <v>289.75383953883215</v>
      </c>
      <c r="S286" s="13">
        <f t="shared" si="26"/>
        <v>0.041282926695901626</v>
      </c>
      <c r="T286" s="13">
        <f t="shared" si="31"/>
        <v>0.0017040380027924047</v>
      </c>
      <c r="U286" s="14">
        <f t="shared" si="32"/>
        <v>0.042917004634833944</v>
      </c>
      <c r="V286" s="14">
        <f t="shared" si="27"/>
        <v>0.13591785898230313</v>
      </c>
      <c r="W286" s="14">
        <f t="shared" si="28"/>
        <v>-0.00510024610420956</v>
      </c>
      <c r="X286" s="14">
        <f t="shared" si="29"/>
        <v>-0.14729774128498718</v>
      </c>
      <c r="Y286" s="14">
        <f t="shared" si="30"/>
        <v>-6.2293145866063355</v>
      </c>
      <c r="Z286" s="15">
        <f aca="true" t="shared" si="33" ref="Z286:Z319">U286+V286+W286+X286+Y286</f>
        <v>-6.202877710378395</v>
      </c>
    </row>
    <row r="287" spans="18:26" ht="12">
      <c r="R287" s="13">
        <v>295.5489163296088</v>
      </c>
      <c r="S287" s="13">
        <f t="shared" si="26"/>
        <v>0.04210858522981965</v>
      </c>
      <c r="T287" s="13">
        <f t="shared" si="31"/>
        <v>0.001772870965503644</v>
      </c>
      <c r="U287" s="14">
        <f t="shared" si="32"/>
        <v>0.04458117202648282</v>
      </c>
      <c r="V287" s="14">
        <f t="shared" si="27"/>
        <v>0.13292794899670213</v>
      </c>
      <c r="W287" s="14">
        <f t="shared" si="28"/>
        <v>-0.0053062376827517355</v>
      </c>
      <c r="X287" s="14">
        <f t="shared" si="29"/>
        <v>-0.14293221281204893</v>
      </c>
      <c r="Y287" s="14">
        <f t="shared" si="30"/>
        <v>-4.285552672280048</v>
      </c>
      <c r="Z287" s="15">
        <f t="shared" si="33"/>
        <v>-4.256282001751663</v>
      </c>
    </row>
    <row r="288" spans="18:26" ht="12">
      <c r="R288" s="13">
        <v>301.45989465620096</v>
      </c>
      <c r="S288" s="13">
        <f t="shared" si="26"/>
        <v>0.04295075693441605</v>
      </c>
      <c r="T288" s="13">
        <f t="shared" si="31"/>
        <v>0.0018444839414104635</v>
      </c>
      <c r="U288" s="14">
        <f t="shared" si="32"/>
        <v>0.046306761192603574</v>
      </c>
      <c r="V288" s="14">
        <f t="shared" si="27"/>
        <v>0.12987564290953912</v>
      </c>
      <c r="W288" s="14">
        <f t="shared" si="28"/>
        <v>-0.005520546481168509</v>
      </c>
      <c r="X288" s="14">
        <f t="shared" si="29"/>
        <v>-0.138629465937953</v>
      </c>
      <c r="Y288" s="14">
        <f t="shared" si="30"/>
        <v>-3.0855478406711825</v>
      </c>
      <c r="Z288" s="15">
        <f t="shared" si="33"/>
        <v>-3.0535154489881613</v>
      </c>
    </row>
    <row r="289" spans="18:26" ht="12">
      <c r="R289" s="13">
        <v>307.489092549325</v>
      </c>
      <c r="S289" s="13">
        <f t="shared" si="26"/>
        <v>0.043809772073104374</v>
      </c>
      <c r="T289" s="13">
        <f t="shared" si="31"/>
        <v>0.0019189891739332702</v>
      </c>
      <c r="U289" s="14">
        <f t="shared" si="32"/>
        <v>0.04809576629362056</v>
      </c>
      <c r="V289" s="14">
        <f t="shared" si="27"/>
        <v>0.12677730560264422</v>
      </c>
      <c r="W289" s="14">
        <f t="shared" si="28"/>
        <v>-0.005743508112536766</v>
      </c>
      <c r="X289" s="14">
        <f t="shared" si="29"/>
        <v>-0.13439554274163612</v>
      </c>
      <c r="Y289" s="14">
        <f t="shared" si="30"/>
        <v>-2.3038209541377057</v>
      </c>
      <c r="Z289" s="15">
        <f t="shared" si="33"/>
        <v>-2.269086933095614</v>
      </c>
    </row>
    <row r="290" spans="18:26" ht="12">
      <c r="R290" s="13">
        <v>313.6388744003115</v>
      </c>
      <c r="S290" s="13">
        <f t="shared" si="26"/>
        <v>0.044685967514566466</v>
      </c>
      <c r="T290" s="13">
        <f t="shared" si="31"/>
        <v>0.001996503435430372</v>
      </c>
      <c r="U290" s="14">
        <f t="shared" si="32"/>
        <v>0.049950220860953465</v>
      </c>
      <c r="V290" s="14">
        <f t="shared" si="27"/>
        <v>0.1236475825537866</v>
      </c>
      <c r="W290" s="14">
        <f t="shared" si="28"/>
        <v>-0.005975471715056635</v>
      </c>
      <c r="X290" s="14">
        <f t="shared" si="29"/>
        <v>-0.13023557107388228</v>
      </c>
      <c r="Y290" s="14">
        <f t="shared" si="30"/>
        <v>-1.77279954437725</v>
      </c>
      <c r="Z290" s="15">
        <f t="shared" si="33"/>
        <v>-1.7354127837514488</v>
      </c>
    </row>
    <row r="291" spans="18:26" ht="12">
      <c r="R291" s="13">
        <v>319.91165188831775</v>
      </c>
      <c r="S291" s="13">
        <f t="shared" si="26"/>
        <v>0.04557968686485779</v>
      </c>
      <c r="T291" s="13">
        <f t="shared" si="31"/>
        <v>0.002077148209697606</v>
      </c>
      <c r="U291" s="14">
        <f t="shared" si="32"/>
        <v>0.0518721958663626</v>
      </c>
      <c r="V291" s="14">
        <f t="shared" si="27"/>
        <v>0.12049954906156302</v>
      </c>
      <c r="W291" s="14">
        <f t="shared" si="28"/>
        <v>-0.006216800495627339</v>
      </c>
      <c r="X291" s="14">
        <f t="shared" si="29"/>
        <v>-0.12615385472756202</v>
      </c>
      <c r="Y291" s="14">
        <f t="shared" si="30"/>
        <v>-1.3991215603626799</v>
      </c>
      <c r="Z291" s="15">
        <f t="shared" si="33"/>
        <v>-1.3591204706579436</v>
      </c>
    </row>
    <row r="292" spans="18:26" ht="12">
      <c r="R292" s="13">
        <v>326.3098849260841</v>
      </c>
      <c r="S292" s="13">
        <f t="shared" si="26"/>
        <v>0.046491280602154954</v>
      </c>
      <c r="T292" s="13">
        <f t="shared" si="31"/>
        <v>0.0021610498818022874</v>
      </c>
      <c r="U292" s="14">
        <f t="shared" si="32"/>
        <v>0.053863797407991854</v>
      </c>
      <c r="V292" s="14">
        <f t="shared" si="27"/>
        <v>0.1173448477982717</v>
      </c>
      <c r="W292" s="14">
        <f t="shared" si="28"/>
        <v>-0.006467872295157662</v>
      </c>
      <c r="X292" s="14">
        <f t="shared" si="29"/>
        <v>-0.12215395575489651</v>
      </c>
      <c r="Y292" s="14">
        <f t="shared" si="30"/>
        <v>-1.1280401386150487</v>
      </c>
      <c r="Z292" s="15">
        <f t="shared" si="33"/>
        <v>-1.0854533214588393</v>
      </c>
    </row>
    <row r="293" spans="18:26" ht="12">
      <c r="R293" s="13">
        <v>332.8360826246058</v>
      </c>
      <c r="S293" s="13">
        <f t="shared" si="26"/>
        <v>0.047421106214198046</v>
      </c>
      <c r="T293" s="13">
        <f t="shared" si="31"/>
        <v>0.002248339935544552</v>
      </c>
      <c r="U293" s="14">
        <f t="shared" si="32"/>
        <v>0.05592716397048392</v>
      </c>
      <c r="V293" s="14">
        <f t="shared" si="27"/>
        <v>0.1141938154869564</v>
      </c>
      <c r="W293" s="14">
        <f t="shared" si="28"/>
        <v>-0.006729080176438806</v>
      </c>
      <c r="X293" s="14">
        <f t="shared" si="29"/>
        <v>-0.11823876956733415</v>
      </c>
      <c r="Y293" s="14">
        <f t="shared" si="30"/>
        <v>-0.9261231589087657</v>
      </c>
      <c r="Z293" s="15">
        <f t="shared" si="33"/>
        <v>-0.8809700291950984</v>
      </c>
    </row>
    <row r="294" spans="18:26" ht="12">
      <c r="R294" s="13">
        <v>339.49280427709795</v>
      </c>
      <c r="S294" s="13">
        <f t="shared" si="26"/>
        <v>0.048369528338482015</v>
      </c>
      <c r="T294" s="13">
        <f t="shared" si="31"/>
        <v>0.002339155158850844</v>
      </c>
      <c r="U294" s="14">
        <f t="shared" si="32"/>
        <v>0.058064463212687656</v>
      </c>
      <c r="V294" s="14">
        <f t="shared" si="27"/>
        <v>0.11105559946288679</v>
      </c>
      <c r="W294" s="14">
        <f t="shared" si="28"/>
        <v>-0.007000833035497145</v>
      </c>
      <c r="X294" s="14">
        <f t="shared" si="29"/>
        <v>-0.11441059340715753</v>
      </c>
      <c r="Y294" s="14">
        <f t="shared" si="30"/>
        <v>-0.772224929003059</v>
      </c>
      <c r="Z294" s="15">
        <f t="shared" si="33"/>
        <v>-0.7245162927701392</v>
      </c>
    </row>
    <row r="295" spans="18:26" ht="12">
      <c r="R295" s="13">
        <v>346.2826603626399</v>
      </c>
      <c r="S295" s="13">
        <f t="shared" si="26"/>
        <v>0.04933691890525165</v>
      </c>
      <c r="T295" s="13">
        <f t="shared" si="31"/>
        <v>0.0024336378574162138</v>
      </c>
      <c r="U295" s="14">
        <f t="shared" si="32"/>
        <v>0.060277888231791366</v>
      </c>
      <c r="V295" s="14">
        <f t="shared" si="27"/>
        <v>0.10793826484102453</v>
      </c>
      <c r="W295" s="14">
        <f t="shared" si="28"/>
        <v>-0.007283556237322131</v>
      </c>
      <c r="X295" s="14">
        <f t="shared" si="29"/>
        <v>-0.11067118873609871</v>
      </c>
      <c r="Y295" s="14">
        <f t="shared" si="30"/>
        <v>-0.6525455622643221</v>
      </c>
      <c r="Z295" s="15">
        <f t="shared" si="33"/>
        <v>-0.6022841541649271</v>
      </c>
    </row>
    <row r="296" spans="18:26" ht="12">
      <c r="R296" s="13">
        <v>353.2083135698927</v>
      </c>
      <c r="S296" s="13">
        <f t="shared" si="26"/>
        <v>0.050323657283356686</v>
      </c>
      <c r="T296" s="13">
        <f t="shared" si="31"/>
        <v>0.0025319360769247</v>
      </c>
      <c r="U296" s="14">
        <f t="shared" si="32"/>
        <v>0.06256965324788055</v>
      </c>
      <c r="V296" s="14">
        <f t="shared" si="27"/>
        <v>0.10484889297225664</v>
      </c>
      <c r="W296" s="14">
        <f t="shared" si="28"/>
        <v>-0.007577692276952597</v>
      </c>
      <c r="X296" s="14">
        <f t="shared" si="29"/>
        <v>-0.10702183804535537</v>
      </c>
      <c r="Y296" s="14">
        <f t="shared" si="30"/>
        <v>-0.5578223070945825</v>
      </c>
      <c r="Z296" s="15">
        <f t="shared" si="33"/>
        <v>-0.5050032911967532</v>
      </c>
    </row>
    <row r="297" spans="18:26" ht="12">
      <c r="R297" s="13">
        <v>360.2724798412906</v>
      </c>
      <c r="S297" s="13">
        <f t="shared" si="26"/>
        <v>0.051330130429023825</v>
      </c>
      <c r="T297" s="13">
        <f t="shared" si="31"/>
        <v>0.0026342038341899145</v>
      </c>
      <c r="U297" s="14">
        <f t="shared" si="32"/>
        <v>0.0649419886473126</v>
      </c>
      <c r="V297" s="14">
        <f t="shared" si="27"/>
        <v>0.1017936718313237</v>
      </c>
      <c r="W297" s="14">
        <f t="shared" si="28"/>
        <v>-0.007883701466904647</v>
      </c>
      <c r="X297" s="14">
        <f t="shared" si="29"/>
        <v>-0.10346339655231418</v>
      </c>
      <c r="Y297" s="14">
        <f t="shared" si="30"/>
        <v>-0.48167855551992744</v>
      </c>
      <c r="Z297" s="15">
        <f t="shared" si="33"/>
        <v>-0.42628999306050996</v>
      </c>
    </row>
    <row r="298" spans="18:26" ht="12">
      <c r="R298" s="13">
        <v>367.4779294381164</v>
      </c>
      <c r="S298" s="13">
        <f t="shared" si="26"/>
        <v>0.052356733037604304</v>
      </c>
      <c r="T298" s="13">
        <f t="shared" si="31"/>
        <v>0.002740601357571516</v>
      </c>
      <c r="U298" s="14">
        <f t="shared" si="32"/>
        <v>0.06739713531761282</v>
      </c>
      <c r="V298" s="14">
        <f t="shared" si="27"/>
        <v>0.0987779789411789</v>
      </c>
      <c r="W298" s="14">
        <f t="shared" si="28"/>
        <v>-0.008202062651971431</v>
      </c>
      <c r="X298" s="14">
        <f t="shared" si="29"/>
        <v>-0.09999633921313489</v>
      </c>
      <c r="Y298" s="14">
        <f t="shared" si="30"/>
        <v>-0.4196234560906902</v>
      </c>
      <c r="Z298" s="15">
        <f t="shared" si="33"/>
        <v>-0.3616467436970048</v>
      </c>
    </row>
    <row r="299" spans="18:26" ht="12">
      <c r="R299" s="13">
        <v>374.8274880268787</v>
      </c>
      <c r="S299" s="13">
        <f t="shared" si="26"/>
        <v>0.05340386769835639</v>
      </c>
      <c r="T299" s="13">
        <f t="shared" si="31"/>
        <v>0.002851295337037177</v>
      </c>
      <c r="U299" s="14">
        <f t="shared" si="32"/>
        <v>0.06993733820004522</v>
      </c>
      <c r="V299" s="14">
        <f t="shared" si="27"/>
        <v>0.09580645739986693</v>
      </c>
      <c r="W299" s="14">
        <f t="shared" si="28"/>
        <v>-0.008533273952468612</v>
      </c>
      <c r="X299" s="14">
        <f t="shared" si="29"/>
        <v>-0.09662080344688917</v>
      </c>
      <c r="Y299" s="14">
        <f t="shared" si="30"/>
        <v>-0.36842866258150764</v>
      </c>
      <c r="Z299" s="15">
        <f t="shared" si="33"/>
        <v>-0.30783894438095327</v>
      </c>
    </row>
    <row r="300" spans="18:26" ht="12">
      <c r="R300" s="13">
        <v>382.3240377874163</v>
      </c>
      <c r="S300" s="13">
        <f t="shared" si="26"/>
        <v>0.054471945052323514</v>
      </c>
      <c r="T300" s="13">
        <f t="shared" si="31"/>
        <v>0.0029664591842541756</v>
      </c>
      <c r="U300" s="14">
        <f t="shared" si="32"/>
        <v>0.07256483897873522</v>
      </c>
      <c r="V300" s="14">
        <f t="shared" si="27"/>
        <v>0.09288308553945512</v>
      </c>
      <c r="W300" s="14">
        <f t="shared" si="28"/>
        <v>-0.008877853537046398</v>
      </c>
      <c r="X300" s="14">
        <f t="shared" si="29"/>
        <v>-0.09333662793494568</v>
      </c>
      <c r="Y300" s="14">
        <f t="shared" si="30"/>
        <v>-0.32573001150615255</v>
      </c>
      <c r="Z300" s="15">
        <f t="shared" si="33"/>
        <v>-0.2624965684599543</v>
      </c>
    </row>
    <row r="301" spans="18:26" ht="12">
      <c r="R301" s="13">
        <v>389.9705185431646</v>
      </c>
      <c r="S301" s="13">
        <f t="shared" si="26"/>
        <v>0.05556138395336998</v>
      </c>
      <c r="T301" s="13">
        <f t="shared" si="31"/>
        <v>0.0030862733031098055</v>
      </c>
      <c r="U301" s="14">
        <f t="shared" si="32"/>
        <v>0.07528186781793522</v>
      </c>
      <c r="V301" s="14">
        <f t="shared" si="27"/>
        <v>0.09001124071100008</v>
      </c>
      <c r="W301" s="14">
        <f t="shared" si="28"/>
        <v>-0.009236340426206802</v>
      </c>
      <c r="X301" s="14">
        <f t="shared" si="29"/>
        <v>-0.09014338783045872</v>
      </c>
      <c r="Y301" s="14">
        <f t="shared" si="30"/>
        <v>-0.28976692592225817</v>
      </c>
      <c r="Z301" s="15">
        <f t="shared" si="33"/>
        <v>-0.22385354564998838</v>
      </c>
    </row>
    <row r="302" spans="18:26" ht="12">
      <c r="R302" s="13">
        <v>397.7699289140279</v>
      </c>
      <c r="S302" s="13">
        <f t="shared" si="26"/>
        <v>0.056672611632437385</v>
      </c>
      <c r="T302" s="13">
        <f t="shared" si="31"/>
        <v>0.0032109253710754394</v>
      </c>
      <c r="U302" s="14">
        <f t="shared" si="32"/>
        <v>0.07809063405003513</v>
      </c>
      <c r="V302" s="14">
        <f t="shared" si="27"/>
        <v>0.08719375765532078</v>
      </c>
      <c r="W302" s="14">
        <f t="shared" si="28"/>
        <v>-0.009609295327720702</v>
      </c>
      <c r="X302" s="14">
        <f t="shared" si="29"/>
        <v>-0.08704042668564682</v>
      </c>
      <c r="Y302" s="14">
        <f t="shared" si="30"/>
        <v>-0.2592082258212969</v>
      </c>
      <c r="Z302" s="15">
        <f t="shared" si="33"/>
        <v>-0.19057355612930849</v>
      </c>
    </row>
    <row r="303" spans="18:26" ht="12">
      <c r="R303" s="13">
        <v>405.72532749230845</v>
      </c>
      <c r="S303" s="13">
        <f t="shared" si="26"/>
        <v>0.057806063865086126</v>
      </c>
      <c r="T303" s="13">
        <f t="shared" si="31"/>
        <v>0.003340610631845276</v>
      </c>
      <c r="U303" s="14">
        <f t="shared" si="32"/>
        <v>0.08099331570821988</v>
      </c>
      <c r="V303" s="14">
        <f t="shared" si="27"/>
        <v>0.08443298188709036</v>
      </c>
      <c r="W303" s="14">
        <f t="shared" si="28"/>
        <v>-0.009997301505212164</v>
      </c>
      <c r="X303" s="14">
        <f t="shared" si="29"/>
        <v>-0.08402688537920255</v>
      </c>
      <c r="Y303" s="14">
        <f t="shared" si="30"/>
        <v>-0.23303337930669699</v>
      </c>
      <c r="Z303" s="15">
        <f t="shared" si="33"/>
        <v>-0.16163126859580146</v>
      </c>
    </row>
    <row r="304" spans="18:26" ht="12">
      <c r="R304" s="13">
        <v>413.8398340421546</v>
      </c>
      <c r="S304" s="13">
        <f t="shared" si="26"/>
        <v>0.05896218514238785</v>
      </c>
      <c r="T304" s="13">
        <f t="shared" si="31"/>
        <v>0.0034755321996976936</v>
      </c>
      <c r="U304" s="14">
        <f t="shared" si="32"/>
        <v>0.08399204778723757</v>
      </c>
      <c r="V304" s="14">
        <f t="shared" si="27"/>
        <v>0.08173081848937613</v>
      </c>
      <c r="W304" s="14">
        <f t="shared" si="28"/>
        <v>-0.010400965681160557</v>
      </c>
      <c r="X304" s="14">
        <f t="shared" si="29"/>
        <v>-0.08110172830335216</v>
      </c>
      <c r="Y304" s="14">
        <f t="shared" si="30"/>
        <v>-0.21045007141051286</v>
      </c>
      <c r="Z304" s="15">
        <f t="shared" si="33"/>
        <v>-0.13622989911841188</v>
      </c>
    </row>
    <row r="305" spans="18:26" ht="12">
      <c r="R305" s="13">
        <v>422.11663072299774</v>
      </c>
      <c r="S305" s="13">
        <f t="shared" si="26"/>
        <v>0.060141428845235614</v>
      </c>
      <c r="T305" s="13">
        <f t="shared" si="31"/>
        <v>0.003615901376044521</v>
      </c>
      <c r="U305" s="14">
        <f t="shared" si="32"/>
        <v>0.08708890910492784</v>
      </c>
      <c r="V305" s="14">
        <f t="shared" si="27"/>
        <v>0.07908877668612035</v>
      </c>
      <c r="W305" s="14">
        <f t="shared" si="28"/>
        <v>-0.010820918975666949</v>
      </c>
      <c r="X305" s="14">
        <f t="shared" si="29"/>
        <v>-0.07826376704836946</v>
      </c>
      <c r="Y305" s="14">
        <f t="shared" si="30"/>
        <v>-0.19083602356142393</v>
      </c>
      <c r="Z305" s="15">
        <f t="shared" si="33"/>
        <v>-0.11374302379441215</v>
      </c>
    </row>
    <row r="306" spans="18:26" ht="12">
      <c r="R306" s="13">
        <v>430.5589633374577</v>
      </c>
      <c r="S306" s="13">
        <f t="shared" si="26"/>
        <v>0.06134425742214033</v>
      </c>
      <c r="T306" s="13">
        <f t="shared" si="31"/>
        <v>0.003761937978651734</v>
      </c>
      <c r="U306" s="14">
        <f t="shared" si="32"/>
        <v>0.09028590762507704</v>
      </c>
      <c r="V306" s="14">
        <f t="shared" si="27"/>
        <v>0.07650801053355849</v>
      </c>
      <c r="W306" s="14">
        <f t="shared" si="28"/>
        <v>-0.011257817882387222</v>
      </c>
      <c r="X306" s="14">
        <f t="shared" si="29"/>
        <v>-0.07551168180273748</v>
      </c>
      <c r="Y306" s="14">
        <f t="shared" si="30"/>
        <v>-0.1736972953071927</v>
      </c>
      <c r="Z306" s="15">
        <f t="shared" si="33"/>
        <v>-0.09367287683368186</v>
      </c>
    </row>
    <row r="307" spans="18:26" ht="12">
      <c r="R307" s="13">
        <v>439.1701426042069</v>
      </c>
      <c r="S307" s="13">
        <f t="shared" si="26"/>
        <v>0.06257114257058313</v>
      </c>
      <c r="T307" s="13">
        <f t="shared" si="31"/>
        <v>0.0039138706840338355</v>
      </c>
      <c r="U307" s="14">
        <f t="shared" si="32"/>
        <v>0.09358496408933803</v>
      </c>
      <c r="V307" s="14">
        <f t="shared" si="27"/>
        <v>0.0739893560456224</v>
      </c>
      <c r="W307" s="14">
        <f t="shared" si="28"/>
        <v>-0.011712345283019232</v>
      </c>
      <c r="X307" s="14">
        <f t="shared" si="29"/>
        <v>-0.0728440406689117</v>
      </c>
      <c r="Y307" s="14">
        <f t="shared" si="30"/>
        <v>-0.15863797337842556</v>
      </c>
      <c r="Z307" s="15">
        <f t="shared" si="33"/>
        <v>-0.07562003919539606</v>
      </c>
    </row>
    <row r="308" spans="18:26" ht="12">
      <c r="R308" s="13">
        <v>447.953545456291</v>
      </c>
      <c r="S308" s="13">
        <f aca="true" t="shared" si="34" ref="S308:S372">2*PI()*R308/44100</f>
        <v>0.0638225654219948</v>
      </c>
      <c r="T308" s="13">
        <f t="shared" si="31"/>
        <v>0.004071937383543716</v>
      </c>
      <c r="U308" s="14">
        <f t="shared" si="32"/>
        <v>0.09698789379117656</v>
      </c>
      <c r="V308" s="14">
        <f aca="true" t="shared" si="35" ref="V308:V372">10*LOG10(($G$121+$G$122+$G$123)^2+($G$121*$G$123*$T308-($G$122*($G$121+$G$123)+4*$G$121*$G$123))*$T308)-10*LOG10((1+$G$124+$G$125)^2+(1*$G$125*$T308-($G$124*(1+$G$125)+4*1*$G$125))*$T308)</f>
        <v>0.07153336504424601</v>
      </c>
      <c r="W308" s="14">
        <f aca="true" t="shared" si="36" ref="W308:W372">10*LOG10(($G$126+$G$127+$G$128)^2+($G$126*$G$128*$T308-($G$127*($G$126+$G$128)+4*$G$126*$G$128))*$T308)-10*LOG10((1+$G$129+$G$130)^2+(1*$G$130*$T308-($G$129*(1+$G$130)+4*1*$G$130))*$T308)</f>
        <v>-0.01218521150187879</v>
      </c>
      <c r="X308" s="14">
        <f aca="true" t="shared" si="37" ref="X308:X372">10*LOG10(($G$131+$G$132+$G$133)^2+($G$131*$G$133*$T308-($G$132*($G$131+$G$133)+4*$G$131*$G$133))*$T308)-10*LOG10((1+$G$134+$G$135)^2+(1*$G$135*$T308-($G$134*(1+$G$135)+4*1*$G$135))*$T308)</f>
        <v>-0.07025931707794797</v>
      </c>
      <c r="Y308" s="14">
        <f aca="true" t="shared" si="38" ref="Y308:Y372">10*LOG10(($G$136+$G$137+$G$138)^2+($G$136*$G$138*$T308-($G$137*($G$136+$G$138)+4*$G$136*$G$138))*$T308)-10*LOG10((1+$G$139+$G$140)^2+(1*$G$140*$T308-($G$139*(1+$G$140)+4*1*$G$140))*$T308)</f>
        <v>-0.14533784837638564</v>
      </c>
      <c r="Z308" s="15">
        <f t="shared" si="33"/>
        <v>-0.059261118120789824</v>
      </c>
    </row>
    <row r="309" spans="18:26" ht="12">
      <c r="R309" s="13">
        <v>456.91261636541685</v>
      </c>
      <c r="S309" s="13">
        <f t="shared" si="34"/>
        <v>0.0650990167304347</v>
      </c>
      <c r="T309" s="13">
        <f aca="true" t="shared" si="39" ref="T309:T372">4*(SIN(S309/2))^2</f>
        <v>0.004236385553699928</v>
      </c>
      <c r="U309" s="14">
        <f aca="true" t="shared" si="40" ref="U309:U372">10*LOG10(($G$116+$G$117+$G$118)^2+($G$116*$G$118*T309-($G$117*($G$116+$G$118)+4*$G$116*$G$118))*T309)-10*LOG10((1+$G$119+$G$120)^2+(1*$G$120*T309-($G$119*(1+$G$120)+4*1*$G$120))*T309)</f>
        <v>0.10049638630997038</v>
      </c>
      <c r="V309" s="14">
        <f t="shared" si="35"/>
        <v>0.06914033600388336</v>
      </c>
      <c r="W309" s="14">
        <f t="shared" si="36"/>
        <v>-0.012677155402053053</v>
      </c>
      <c r="X309" s="14">
        <f t="shared" si="37"/>
        <v>-0.06775590547072596</v>
      </c>
      <c r="Y309" s="14">
        <f t="shared" si="38"/>
        <v>-0.13353577380140536</v>
      </c>
      <c r="Z309" s="15">
        <f t="shared" si="33"/>
        <v>-0.04433211236033063</v>
      </c>
    </row>
    <row r="310" spans="18:26" ht="12">
      <c r="R310" s="13">
        <v>466.0508686927252</v>
      </c>
      <c r="S310" s="13">
        <f t="shared" si="34"/>
        <v>0.06640099706504339</v>
      </c>
      <c r="T310" s="13">
        <f t="shared" si="39"/>
        <v>0.004407472641314422</v>
      </c>
      <c r="U310" s="14">
        <f t="shared" si="40"/>
        <v>0.10411198300586477</v>
      </c>
      <c r="V310" s="14">
        <f t="shared" si="35"/>
        <v>0.06681034213786319</v>
      </c>
      <c r="W310" s="14">
        <f t="shared" si="36"/>
        <v>-0.013188945524754025</v>
      </c>
      <c r="X310" s="14">
        <f t="shared" si="37"/>
        <v>-0.06533213539943716</v>
      </c>
      <c r="Y310" s="14">
        <f t="shared" si="38"/>
        <v>-0.12301712070332371</v>
      </c>
      <c r="Z310" s="15">
        <f t="shared" si="33"/>
        <v>-0.03061587648378694</v>
      </c>
    </row>
    <row r="311" spans="18:26" ht="12">
      <c r="R311" s="13">
        <v>475.3718860665797</v>
      </c>
      <c r="S311" s="13">
        <f t="shared" si="34"/>
        <v>0.06772901700634425</v>
      </c>
      <c r="T311" s="13">
        <f t="shared" si="39"/>
        <v>0.004585466464005348</v>
      </c>
      <c r="U311" s="14">
        <f t="shared" si="40"/>
        <v>0.10783605205797997</v>
      </c>
      <c r="V311" s="14">
        <f t="shared" si="35"/>
        <v>0.06454325695544583</v>
      </c>
      <c r="W311" s="14">
        <f t="shared" si="36"/>
        <v>-0.013721381273507305</v>
      </c>
      <c r="X311" s="14">
        <f t="shared" si="37"/>
        <v>-0.06298628418994667</v>
      </c>
      <c r="Y311" s="14">
        <f t="shared" si="38"/>
        <v>-0.11360422048946361</v>
      </c>
      <c r="Z311" s="15">
        <f t="shared" si="33"/>
        <v>-0.017932576939491796</v>
      </c>
    </row>
    <row r="312" spans="18:26" ht="12">
      <c r="R312" s="13">
        <v>484.8793237879113</v>
      </c>
      <c r="S312" s="13">
        <f t="shared" si="34"/>
        <v>0.06908359734647114</v>
      </c>
      <c r="T312" s="13">
        <f t="shared" si="39"/>
        <v>0.004770645626702221</v>
      </c>
      <c r="U312" s="14">
        <f t="shared" si="40"/>
        <v>0.11166976080841451</v>
      </c>
      <c r="V312" s="14">
        <f t="shared" si="35"/>
        <v>0.06233877750037209</v>
      </c>
      <c r="W312" s="14">
        <f t="shared" si="36"/>
        <v>-0.014275294144884931</v>
      </c>
      <c r="X312" s="14">
        <f t="shared" si="37"/>
        <v>-0.06071658829390003</v>
      </c>
      <c r="Y312" s="14">
        <f t="shared" si="38"/>
        <v>-0.10514901279991307</v>
      </c>
      <c r="Z312" s="15">
        <f t="shared" si="33"/>
        <v>-0.006132356929911431</v>
      </c>
    </row>
    <row r="313" spans="18:26" ht="12">
      <c r="R313" s="13">
        <v>494.5769102636695</v>
      </c>
      <c r="S313" s="13">
        <f t="shared" si="34"/>
        <v>0.07046526929340056</v>
      </c>
      <c r="T313" s="13">
        <f t="shared" si="39"/>
        <v>0.004963299954773968</v>
      </c>
      <c r="U313" s="14">
        <f t="shared" si="40"/>
        <v>0.1156140451527925</v>
      </c>
      <c r="V313" s="14">
        <f t="shared" si="35"/>
        <v>0.06019644546465486</v>
      </c>
      <c r="W313" s="14">
        <f t="shared" si="36"/>
        <v>-0.014851549007516951</v>
      </c>
      <c r="X313" s="14">
        <f t="shared" si="37"/>
        <v>-0.058521253447899824</v>
      </c>
      <c r="Y313" s="14">
        <f t="shared" si="38"/>
        <v>-0.09752733794712043</v>
      </c>
      <c r="Z313" s="15">
        <f t="shared" si="33"/>
        <v>0.004910350214910153</v>
      </c>
    </row>
    <row r="314" spans="18:26" ht="12">
      <c r="R314" s="13">
        <v>504.4684484689429</v>
      </c>
      <c r="S314" s="13">
        <f t="shared" si="34"/>
        <v>0.07187457467926857</v>
      </c>
      <c r="T314" s="13">
        <f t="shared" si="39"/>
        <v>0.005163730944434698</v>
      </c>
      <c r="U314" s="14">
        <f t="shared" si="40"/>
        <v>0.11966957569452674</v>
      </c>
      <c r="V314" s="14">
        <f t="shared" si="35"/>
        <v>0.05811566635642862</v>
      </c>
      <c r="W314" s="14">
        <f t="shared" si="36"/>
        <v>-0.015451045431268184</v>
      </c>
      <c r="X314" s="14">
        <f t="shared" si="37"/>
        <v>-0.056398463747903804</v>
      </c>
      <c r="Y314" s="14">
        <f t="shared" si="38"/>
        <v>-0.09063446813743781</v>
      </c>
      <c r="Z314" s="15">
        <f t="shared" si="33"/>
        <v>0.015301264734345565</v>
      </c>
    </row>
    <row r="315" spans="18:26" ht="12">
      <c r="R315" s="13">
        <v>514.5578174383218</v>
      </c>
      <c r="S315" s="13">
        <f t="shared" si="34"/>
        <v>0.07331206617285395</v>
      </c>
      <c r="T315" s="13">
        <f t="shared" si="39"/>
        <v>0.005372252231106987</v>
      </c>
      <c r="U315" s="14">
        <f t="shared" si="40"/>
        <v>0.12383672035443638</v>
      </c>
      <c r="V315" s="14">
        <f t="shared" si="35"/>
        <v>0.05609572688602782</v>
      </c>
      <c r="W315" s="14">
        <f t="shared" si="36"/>
        <v>-0.016074719068381427</v>
      </c>
      <c r="X315" s="14">
        <f t="shared" si="37"/>
        <v>-0.05434638973682837</v>
      </c>
      <c r="Y315" s="14">
        <f t="shared" si="38"/>
        <v>-0.08438158054855194</v>
      </c>
      <c r="Z315" s="15">
        <f t="shared" si="33"/>
        <v>0.025129757886702464</v>
      </c>
    </row>
    <row r="316" spans="18:26" ht="12">
      <c r="R316" s="13">
        <v>524.8489737870882</v>
      </c>
      <c r="S316" s="13">
        <f t="shared" si="34"/>
        <v>0.07477830749631102</v>
      </c>
      <c r="T316" s="13">
        <f t="shared" si="39"/>
        <v>0.005589190076448536</v>
      </c>
      <c r="U316" s="14">
        <f t="shared" si="40"/>
        <v>0.12811550309969988</v>
      </c>
      <c r="V316" s="14">
        <f t="shared" si="35"/>
        <v>0.05413581072129148</v>
      </c>
      <c r="W316" s="14">
        <f t="shared" si="36"/>
        <v>-0.016723543088615678</v>
      </c>
      <c r="X316" s="14">
        <f t="shared" si="37"/>
        <v>-0.0523631955958308</v>
      </c>
      <c r="Y316" s="14">
        <f t="shared" si="38"/>
        <v>-0.07869295279907362</v>
      </c>
      <c r="Z316" s="15">
        <f t="shared" si="33"/>
        <v>0.03447162233747125</v>
      </c>
    </row>
    <row r="317" spans="18:26" ht="12">
      <c r="R317" s="13">
        <v>535.34595326283</v>
      </c>
      <c r="S317" s="13">
        <f t="shared" si="34"/>
        <v>0.07627387364623725</v>
      </c>
      <c r="T317" s="13">
        <f t="shared" si="39"/>
        <v>0.005814883874774905</v>
      </c>
      <c r="U317" s="14">
        <f t="shared" si="40"/>
        <v>0.13250555842626</v>
      </c>
      <c r="V317" s="14">
        <f t="shared" si="35"/>
        <v>0.05223501275100517</v>
      </c>
      <c r="W317" s="14">
        <f t="shared" si="36"/>
        <v>-0.017398529670319185</v>
      </c>
      <c r="X317" s="14">
        <f t="shared" si="37"/>
        <v>-0.0504470455210182</v>
      </c>
      <c r="Y317" s="14">
        <f t="shared" si="38"/>
        <v>-0.07350371706105818</v>
      </c>
      <c r="Z317" s="15">
        <f t="shared" si="33"/>
        <v>0.0433912789248696</v>
      </c>
    </row>
    <row r="318" spans="18:26" ht="12">
      <c r="R318" s="13">
        <v>546.0528723280866</v>
      </c>
      <c r="S318" s="13">
        <f t="shared" si="34"/>
        <v>0.07779935111916199</v>
      </c>
      <c r="T318" s="13">
        <f t="shared" si="39"/>
        <v>0.006049686679638891</v>
      </c>
      <c r="U318" s="14">
        <f t="shared" si="40"/>
        <v>0.13700608119646063</v>
      </c>
      <c r="V318" s="14">
        <f t="shared" si="35"/>
        <v>0.0503923519838807</v>
      </c>
      <c r="W318" s="14">
        <f t="shared" si="36"/>
        <v>-0.01810073154957159</v>
      </c>
      <c r="X318" s="14">
        <f t="shared" si="37"/>
        <v>-0.04859610936118486</v>
      </c>
      <c r="Y318" s="14">
        <f t="shared" si="38"/>
        <v>-0.06875804954641751</v>
      </c>
      <c r="Z318" s="15">
        <f t="shared" si="33"/>
        <v>0.05194354272316737</v>
      </c>
    </row>
    <row r="319" spans="18:26" ht="12">
      <c r="R319" s="13">
        <v>556.9739297746482</v>
      </c>
      <c r="S319" s="13">
        <f t="shared" si="34"/>
        <v>0.07935533814154523</v>
      </c>
      <c r="T319" s="13">
        <f t="shared" si="39"/>
        <v>0.006293965751355974</v>
      </c>
      <c r="U319" s="14">
        <f t="shared" si="40"/>
        <v>0.14161577139902803</v>
      </c>
      <c r="V319" s="14">
        <f t="shared" si="35"/>
        <v>0.04860678320046219</v>
      </c>
      <c r="W319" s="14">
        <f t="shared" si="36"/>
        <v>-0.01883124362949662</v>
      </c>
      <c r="X319" s="14">
        <f t="shared" si="37"/>
        <v>-0.04680856758492524</v>
      </c>
      <c r="Y319" s="14">
        <f t="shared" si="38"/>
        <v>-0.06440770178785016</v>
      </c>
      <c r="Z319" s="15">
        <f t="shared" si="33"/>
        <v>0.060175041597218204</v>
      </c>
    </row>
    <row r="320" spans="18:26" ht="12">
      <c r="R320" s="13">
        <v>568.1134083701412</v>
      </c>
      <c r="S320" s="13">
        <f t="shared" si="34"/>
        <v>0.08094244490437613</v>
      </c>
      <c r="T320" s="13">
        <f t="shared" si="39"/>
        <v>0.006548103126295024</v>
      </c>
      <c r="U320" s="14">
        <f t="shared" si="40"/>
        <v>0.14633277336123385</v>
      </c>
      <c r="V320" s="14">
        <f t="shared" si="35"/>
        <v>0.04687720746530033</v>
      </c>
      <c r="W320" s="14">
        <f t="shared" si="36"/>
        <v>-0.019591204651983496</v>
      </c>
      <c r="X320" s="14">
        <f t="shared" si="37"/>
        <v>-0.04508261564006233</v>
      </c>
      <c r="Y320" s="14">
        <f t="shared" si="38"/>
        <v>-0.060410802109679196</v>
      </c>
      <c r="Z320" s="15">
        <f aca="true" t="shared" si="41" ref="Z320:Z371">U320+V320+W320+X320+Y320</f>
        <v>0.06812535842480916</v>
      </c>
    </row>
    <row r="321" spans="18:26" ht="12">
      <c r="R321" s="13">
        <v>579.475676537544</v>
      </c>
      <c r="S321" s="13">
        <f t="shared" si="34"/>
        <v>0.08256129380246365</v>
      </c>
      <c r="T321" s="13">
        <f t="shared" si="39"/>
        <v>0.006812496208784458</v>
      </c>
      <c r="U321" s="14">
        <f t="shared" si="40"/>
        <v>0.1511546089028819</v>
      </c>
      <c r="V321" s="14">
        <f t="shared" si="35"/>
        <v>0.045202481598174415</v>
      </c>
      <c r="W321" s="14">
        <f t="shared" si="36"/>
        <v>-0.02038179893407044</v>
      </c>
      <c r="X321" s="14">
        <f t="shared" si="37"/>
        <v>-0.04341646776232011</v>
      </c>
      <c r="Y321" s="14">
        <f t="shared" si="38"/>
        <v>-0.05673087208484162</v>
      </c>
      <c r="Z321" s="15">
        <f t="shared" si="41"/>
        <v>0.07582795171982415</v>
      </c>
    </row>
    <row r="322" spans="18:26" ht="12">
      <c r="R322" s="13">
        <v>591.0651900682949</v>
      </c>
      <c r="S322" s="13">
        <f t="shared" si="34"/>
        <v>0.08421251967851293</v>
      </c>
      <c r="T322" s="13">
        <f t="shared" si="39"/>
        <v>0.007087558386515864</v>
      </c>
      <c r="U322" s="14">
        <f t="shared" si="40"/>
        <v>0.15607810387914967</v>
      </c>
      <c r="V322" s="14">
        <f t="shared" si="35"/>
        <v>0.04358142669512688</v>
      </c>
      <c r="W322" s="14">
        <f t="shared" si="36"/>
        <v>-0.021204258171365176</v>
      </c>
      <c r="X322" s="14">
        <f t="shared" si="37"/>
        <v>-0.04180836028596957</v>
      </c>
      <c r="Y322" s="14">
        <f t="shared" si="38"/>
        <v>-0.05333601511642172</v>
      </c>
      <c r="Z322" s="15">
        <f t="shared" si="41"/>
        <v>0.08331089700052008</v>
      </c>
    </row>
    <row r="323" spans="18:26" ht="12">
      <c r="R323" s="13">
        <v>602.8864938696609</v>
      </c>
      <c r="S323" s="13">
        <f t="shared" si="34"/>
        <v>0.0858967700720832</v>
      </c>
      <c r="T323" s="13">
        <f t="shared" si="39"/>
        <v>0.007373719670360207</v>
      </c>
      <c r="U323" s="14">
        <f t="shared" si="40"/>
        <v>0.1610993075136733</v>
      </c>
      <c r="V323" s="14">
        <f t="shared" si="35"/>
        <v>0.04201283578208859</v>
      </c>
      <c r="W323" s="14">
        <f t="shared" si="36"/>
        <v>-0.02205986331088372</v>
      </c>
      <c r="X323" s="14">
        <f t="shared" si="37"/>
        <v>-0.040256554503656616</v>
      </c>
      <c r="Y323" s="14">
        <f t="shared" si="38"/>
        <v>-0.0501982436385191</v>
      </c>
      <c r="Z323" s="15">
        <f t="shared" si="41"/>
        <v>0.09059748184270244</v>
      </c>
    </row>
    <row r="324" spans="18:26" ht="12">
      <c r="R324" s="13">
        <v>614.944223747054</v>
      </c>
      <c r="S324" s="13">
        <f t="shared" si="34"/>
        <v>0.08761470547352485</v>
      </c>
      <c r="T324" s="13">
        <f t="shared" si="39"/>
        <v>0.007671427359545876</v>
      </c>
      <c r="U324" s="14">
        <f t="shared" si="40"/>
        <v>0.1662134038749521</v>
      </c>
      <c r="V324" s="14">
        <f t="shared" si="35"/>
        <v>0.04049548067764874</v>
      </c>
      <c r="W324" s="14">
        <f t="shared" si="36"/>
        <v>-0.02294994649582449</v>
      </c>
      <c r="X324" s="14">
        <f t="shared" si="37"/>
        <v>-0.03875933911937324</v>
      </c>
      <c r="Y324" s="14">
        <f t="shared" si="38"/>
        <v>-0.047292918578527576</v>
      </c>
      <c r="Z324" s="15">
        <f t="shared" si="41"/>
        <v>0.09770668035887553</v>
      </c>
    </row>
    <row r="325" spans="18:26" ht="12">
      <c r="R325" s="13">
        <v>627.2431082219952</v>
      </c>
      <c r="S325" s="13">
        <f t="shared" si="34"/>
        <v>0.08936699958299536</v>
      </c>
      <c r="T325" s="13">
        <f t="shared" si="39"/>
        <v>0.007981146733183203</v>
      </c>
      <c r="U325" s="14">
        <f t="shared" si="40"/>
        <v>0.1714146147979072</v>
      </c>
      <c r="V325" s="14">
        <f t="shared" si="35"/>
        <v>0.039028118134666556</v>
      </c>
      <c r="W325" s="14">
        <f t="shared" si="36"/>
        <v>-0.023875893084804645</v>
      </c>
      <c r="X325" s="14">
        <f t="shared" si="37"/>
        <v>-0.03731503233387912</v>
      </c>
      <c r="Y325" s="14">
        <f t="shared" si="38"/>
        <v>-0.04459828021763457</v>
      </c>
      <c r="Z325" s="15">
        <f t="shared" si="41"/>
        <v>0.10465352729625543</v>
      </c>
    </row>
    <row r="326" spans="18:26" ht="12">
      <c r="R326" s="13">
        <v>639.7879703864351</v>
      </c>
      <c r="S326" s="13">
        <f t="shared" si="34"/>
        <v>0.09115433957465527</v>
      </c>
      <c r="T326" s="13">
        <f t="shared" si="39"/>
        <v>0.008303361769156359</v>
      </c>
      <c r="U326" s="14">
        <f t="shared" si="40"/>
        <v>0.17669609349893634</v>
      </c>
      <c r="V326" s="14">
        <f t="shared" si="35"/>
        <v>0.03760949532474456</v>
      </c>
      <c r="W326" s="14">
        <f t="shared" si="36"/>
        <v>-0.02483914374819829</v>
      </c>
      <c r="X326" s="14">
        <f t="shared" si="37"/>
        <v>-0.03592198359910981</v>
      </c>
      <c r="Y326" s="14">
        <f t="shared" si="38"/>
        <v>-0.04209505384083201</v>
      </c>
      <c r="Z326" s="15">
        <f t="shared" si="41"/>
        <v>0.11144940763554079</v>
      </c>
    </row>
    <row r="327" spans="18:26" ht="12">
      <c r="R327" s="13">
        <v>652.5837297941638</v>
      </c>
      <c r="S327" s="13">
        <f t="shared" si="34"/>
        <v>0.09297742636614838</v>
      </c>
      <c r="T327" s="13">
        <f t="shared" si="39"/>
        <v>0.00863857589144157</v>
      </c>
      <c r="U327" s="14">
        <f t="shared" si="40"/>
        <v>0.18204980807659155</v>
      </c>
      <c r="V327" s="14">
        <f t="shared" si="35"/>
        <v>0.036238354724460464</v>
      </c>
      <c r="W327" s="14">
        <f t="shared" si="36"/>
        <v>-0.02584119664424911</v>
      </c>
      <c r="X327" s="14">
        <f t="shared" si="37"/>
        <v>-0.03457857507432038</v>
      </c>
      <c r="Y327" s="14">
        <f t="shared" si="38"/>
        <v>-0.03976611688094067</v>
      </c>
      <c r="Z327" s="15">
        <f t="shared" si="41"/>
        <v>0.11810227420154185</v>
      </c>
    </row>
    <row r="328" spans="18:26" ht="12">
      <c r="R328" s="13">
        <v>665.635404390047</v>
      </c>
      <c r="S328" s="13">
        <f t="shared" si="34"/>
        <v>0.09483697489347134</v>
      </c>
      <c r="T328" s="13">
        <f t="shared" si="39"/>
        <v>0.00898731274694915</v>
      </c>
      <c r="U328" s="14">
        <f t="shared" si="40"/>
        <v>0.1874664140318245</v>
      </c>
      <c r="V328" s="14">
        <f t="shared" si="35"/>
        <v>0.034913438456925405</v>
      </c>
      <c r="W328" s="14">
        <f t="shared" si="36"/>
        <v>-0.02688360967774006</v>
      </c>
      <c r="X328" s="14">
        <f t="shared" si="37"/>
        <v>-0.03328322281420526</v>
      </c>
      <c r="Y328" s="14">
        <f t="shared" si="38"/>
        <v>-0.037596216857096465</v>
      </c>
      <c r="Z328" s="15">
        <f t="shared" si="41"/>
        <v>0.12461680313970813</v>
      </c>
    </row>
    <row r="329" spans="18:26" ht="12">
      <c r="R329" s="13">
        <v>678.948112477848</v>
      </c>
      <c r="S329" s="13">
        <f t="shared" si="34"/>
        <v>0.09673371439134075</v>
      </c>
      <c r="T329" s="13">
        <f t="shared" si="39"/>
        <v>0.009350117013027253</v>
      </c>
      <c r="U329" s="14">
        <f t="shared" si="40"/>
        <v>0.1929351148822036</v>
      </c>
      <c r="V329" s="14">
        <f t="shared" si="35"/>
        <v>0.03363349213800859</v>
      </c>
      <c r="W329" s="14">
        <f t="shared" si="36"/>
        <v>-0.02796800284399481</v>
      </c>
      <c r="X329" s="14">
        <f t="shared" si="37"/>
        <v>-0.03203437771626483</v>
      </c>
      <c r="Y329" s="14">
        <f t="shared" si="38"/>
        <v>-0.0355717314548869</v>
      </c>
      <c r="Z329" s="15">
        <f t="shared" si="41"/>
        <v>0.13099449500506566</v>
      </c>
    </row>
    <row r="330" spans="18:26" ht="12">
      <c r="R330" s="13">
        <v>692.527074727405</v>
      </c>
      <c r="S330" s="13">
        <f t="shared" si="34"/>
        <v>0.09866838867916758</v>
      </c>
      <c r="T330" s="13">
        <f t="shared" si="39"/>
        <v>0.009727555236806698</v>
      </c>
      <c r="U330" s="14">
        <f t="shared" si="40"/>
        <v>0.1984435098837416</v>
      </c>
      <c r="V330" s="14">
        <f t="shared" si="35"/>
        <v>0.03239726827241185</v>
      </c>
      <c r="W330" s="14">
        <f t="shared" si="36"/>
        <v>-0.029096060661144563</v>
      </c>
      <c r="X330" s="14">
        <f t="shared" si="37"/>
        <v>-0.030830526252529467</v>
      </c>
      <c r="Y330" s="14">
        <f t="shared" si="38"/>
        <v>-0.03368046371510758</v>
      </c>
      <c r="Z330" s="15">
        <f t="shared" si="41"/>
        <v>0.13723372752737184</v>
      </c>
    </row>
    <row r="331" spans="18:26" ht="12">
      <c r="R331" s="13">
        <v>706.3776162219531</v>
      </c>
      <c r="S331" s="13">
        <f t="shared" si="34"/>
        <v>0.10064175645275093</v>
      </c>
      <c r="T331" s="13">
        <f t="shared" si="39"/>
        <v>0.010120216707608752</v>
      </c>
      <c r="U331" s="14">
        <f t="shared" si="40"/>
        <v>0.20397742781334927</v>
      </c>
      <c r="V331" s="14">
        <f t="shared" si="35"/>
        <v>0.03120352924073444</v>
      </c>
      <c r="W331" s="14">
        <f t="shared" si="36"/>
        <v>-0.03026953469355398</v>
      </c>
      <c r="X331" s="14">
        <f t="shared" si="37"/>
        <v>-0.029670191008079883</v>
      </c>
      <c r="Y331" s="14">
        <f t="shared" si="38"/>
        <v>-0.03191146659036548</v>
      </c>
      <c r="Z331" s="15">
        <f t="shared" si="41"/>
        <v>0.14332976476208437</v>
      </c>
    </row>
    <row r="332" spans="18:26" ht="12">
      <c r="R332" s="13">
        <v>720.5051685463922</v>
      </c>
      <c r="S332" s="13">
        <f t="shared" si="34"/>
        <v>0.10265459158180595</v>
      </c>
      <c r="T332" s="13">
        <f t="shared" si="39"/>
        <v>0.010528714363682221</v>
      </c>
      <c r="U332" s="14">
        <f t="shared" si="40"/>
        <v>0.20952074570521972</v>
      </c>
      <c r="V332" s="14">
        <f t="shared" si="35"/>
        <v>0.030051049915478245</v>
      </c>
      <c r="W332" s="14">
        <f t="shared" si="36"/>
        <v>-0.031490246169449065</v>
      </c>
      <c r="X332" s="14">
        <f t="shared" si="37"/>
        <v>-0.028551931047367418</v>
      </c>
      <c r="Y332" s="14">
        <f t="shared" si="38"/>
        <v>-0.030254892161380553</v>
      </c>
      <c r="Z332" s="15">
        <f t="shared" si="41"/>
        <v>0.14927472624250093</v>
      </c>
    </row>
    <row r="333" spans="18:26" ht="12">
      <c r="R333" s="13">
        <v>734.91527191732</v>
      </c>
      <c r="S333" s="13">
        <f t="shared" si="34"/>
        <v>0.10470768341344205</v>
      </c>
      <c r="T333" s="13">
        <f t="shared" si="39"/>
        <v>0.010953685734581262</v>
      </c>
      <c r="U333" s="14">
        <f t="shared" si="40"/>
        <v>0.21505519137747342</v>
      </c>
      <c r="V333" s="14">
        <f t="shared" si="35"/>
        <v>0.028938619940440446</v>
      </c>
      <c r="W333" s="14">
        <f t="shared" si="36"/>
        <v>-0.032760088695746425</v>
      </c>
      <c r="X333" s="14">
        <f t="shared" si="37"/>
        <v>-0.02747434212685107</v>
      </c>
      <c r="Y333" s="14">
        <f t="shared" si="38"/>
        <v>-0.02870186163603705</v>
      </c>
      <c r="Z333" s="15">
        <f t="shared" si="41"/>
        <v>0.15505751885927932</v>
      </c>
    </row>
    <row r="334" spans="18:26" ht="12">
      <c r="R334" s="13">
        <v>749.6135773556664</v>
      </c>
      <c r="S334" s="13">
        <f t="shared" si="34"/>
        <v>0.10680183708171091</v>
      </c>
      <c r="T334" s="13">
        <f t="shared" si="39"/>
        <v>0.011395793920542385</v>
      </c>
      <c r="U334" s="14">
        <f t="shared" si="40"/>
        <v>0.22056012853245832</v>
      </c>
      <c r="V334" s="14">
        <f t="shared" si="35"/>
        <v>0.0278650457051981</v>
      </c>
      <c r="W334" s="14">
        <f t="shared" si="36"/>
        <v>-0.03408103107321736</v>
      </c>
      <c r="X334" s="14">
        <f t="shared" si="37"/>
        <v>-0.02643605677112504</v>
      </c>
      <c r="Y334" s="14">
        <f t="shared" si="38"/>
        <v>-0.027244352925919202</v>
      </c>
      <c r="Z334" s="15">
        <f t="shared" si="41"/>
        <v>0.16066373346739482</v>
      </c>
    </row>
    <row r="335" spans="18:26" ht="12">
      <c r="R335" s="13">
        <v>764.6058489027797</v>
      </c>
      <c r="S335" s="13">
        <f t="shared" si="34"/>
        <v>0.10893787382334512</v>
      </c>
      <c r="T335" s="13">
        <f t="shared" si="39"/>
        <v>0.011855728610267145</v>
      </c>
      <c r="U335" s="14">
        <f t="shared" si="40"/>
        <v>0.22601232316783282</v>
      </c>
      <c r="V335" s="14">
        <f t="shared" si="35"/>
        <v>0.0268291520436037</v>
      </c>
      <c r="W335" s="14">
        <f t="shared" si="36"/>
        <v>-0.03545512021509545</v>
      </c>
      <c r="X335" s="14">
        <f t="shared" si="37"/>
        <v>-0.025435744228140322</v>
      </c>
      <c r="Y335" s="14">
        <f t="shared" si="38"/>
        <v>-0.02587510313966135</v>
      </c>
      <c r="Z335" s="15">
        <f t="shared" si="41"/>
        <v>0.1660755076285394</v>
      </c>
    </row>
    <row r="336" spans="18:26" ht="12">
      <c r="R336" s="13">
        <v>779.8979658808353</v>
      </c>
      <c r="S336" s="13">
        <f t="shared" si="34"/>
        <v>0.11111663129981203</v>
      </c>
      <c r="T336" s="13">
        <f t="shared" si="39"/>
        <v>0.012334207138566783</v>
      </c>
      <c r="U336" s="14">
        <f t="shared" si="40"/>
        <v>0.23138568999886644</v>
      </c>
      <c r="V336" s="14">
        <f t="shared" si="35"/>
        <v>0.025829783682681295</v>
      </c>
      <c r="W336" s="14">
        <f t="shared" si="36"/>
        <v>-0.03688448417229484</v>
      </c>
      <c r="X336" s="14">
        <f t="shared" si="37"/>
        <v>-0.024472110317447004</v>
      </c>
      <c r="Y336" s="14">
        <f t="shared" si="38"/>
        <v>-0.024587523776595788</v>
      </c>
      <c r="Z336" s="15">
        <f t="shared" si="41"/>
        <v>0.1712713554152101</v>
      </c>
    </row>
    <row r="337" spans="18:26" ht="12">
      <c r="R337" s="13">
        <v>795.495925198452</v>
      </c>
      <c r="S337" s="13">
        <f t="shared" si="34"/>
        <v>0.11333896392580826</v>
      </c>
      <c r="T337" s="13">
        <f t="shared" si="39"/>
        <v>0.012831975585375804</v>
      </c>
      <c r="U337" s="14">
        <f t="shared" si="40"/>
        <v>0.23665101756813556</v>
      </c>
      <c r="V337" s="14">
        <f t="shared" si="35"/>
        <v>0.02486580646617398</v>
      </c>
      <c r="W337" s="14">
        <f t="shared" si="36"/>
        <v>-0.03837133526843406</v>
      </c>
      <c r="X337" s="14">
        <f t="shared" si="37"/>
        <v>-0.023543897184360674</v>
      </c>
      <c r="Y337" s="14">
        <f t="shared" si="38"/>
        <v>-0.023375626767261792</v>
      </c>
      <c r="Z337" s="15">
        <f t="shared" si="41"/>
        <v>0.176225964814253</v>
      </c>
    </row>
    <row r="338" spans="18:26" ht="12">
      <c r="R338" s="13">
        <v>811.4058437024211</v>
      </c>
      <c r="S338" s="13">
        <f t="shared" si="34"/>
        <v>0.11560574320432444</v>
      </c>
      <c r="T338" s="13">
        <f t="shared" si="39"/>
        <v>0.013349809917694218</v>
      </c>
      <c r="U338" s="14">
        <f t="shared" si="40"/>
        <v>0.2417756707116432</v>
      </c>
      <c r="V338" s="14">
        <f t="shared" si="35"/>
        <v>0.02393610837474114</v>
      </c>
      <c r="W338" s="14">
        <f t="shared" si="36"/>
        <v>-0.039917973347852076</v>
      </c>
      <c r="X338" s="14">
        <f t="shared" si="37"/>
        <v>-0.022649882971606417</v>
      </c>
      <c r="Y338" s="14">
        <f t="shared" si="38"/>
        <v>-0.022233959806030157</v>
      </c>
      <c r="Z338" s="15">
        <f t="shared" si="41"/>
        <v>0.18090996296089568</v>
      </c>
    </row>
    <row r="339" spans="18:26" ht="12">
      <c r="R339" s="13">
        <v>827.6339605764695</v>
      </c>
      <c r="S339" s="13">
        <f t="shared" si="34"/>
        <v>0.11791785806841092</v>
      </c>
      <c r="T339" s="13">
        <f t="shared" si="39"/>
        <v>0.013888517176071714</v>
      </c>
      <c r="U339" s="14">
        <f t="shared" si="40"/>
        <v>0.24672326906530628</v>
      </c>
      <c r="V339" s="14">
        <f t="shared" si="35"/>
        <v>0.023039600362970702</v>
      </c>
      <c r="W339" s="14">
        <f t="shared" si="36"/>
        <v>-0.041526789139798126</v>
      </c>
      <c r="X339" s="14">
        <f t="shared" si="37"/>
        <v>-0.02178888141892088</v>
      </c>
      <c r="Y339" s="14">
        <f t="shared" si="38"/>
        <v>-0.021157549666853015</v>
      </c>
      <c r="Z339" s="15">
        <f t="shared" si="41"/>
        <v>0.18528964920270496</v>
      </c>
    </row>
    <row r="340" spans="18:26" ht="12">
      <c r="R340" s="13">
        <v>844.1866397879988</v>
      </c>
      <c r="S340" s="13">
        <f t="shared" si="34"/>
        <v>0.12027621522977915</v>
      </c>
      <c r="T340" s="13">
        <f t="shared" si="39"/>
        <v>0.014448936707302528</v>
      </c>
      <c r="U340" s="14">
        <f t="shared" si="40"/>
        <v>0.25145334033827993</v>
      </c>
      <c r="V340" s="14">
        <f t="shared" si="35"/>
        <v>0.02217521703169467</v>
      </c>
      <c r="W340" s="14">
        <f t="shared" si="36"/>
        <v>-0.0432002677420158</v>
      </c>
      <c r="X340" s="14">
        <f t="shared" si="37"/>
        <v>-0.02095974140021184</v>
      </c>
      <c r="Y340" s="14">
        <f t="shared" si="38"/>
        <v>-0.0201418523967547</v>
      </c>
      <c r="Z340" s="15">
        <f t="shared" si="41"/>
        <v>0.18932669583099226</v>
      </c>
    </row>
    <row r="341" spans="18:26" ht="12">
      <c r="R341" s="13">
        <v>861.0703725837589</v>
      </c>
      <c r="S341" s="13">
        <f t="shared" si="34"/>
        <v>0.12268173953437472</v>
      </c>
      <c r="T341" s="13">
        <f t="shared" si="39"/>
        <v>0.015031941445056258</v>
      </c>
      <c r="U341" s="14">
        <f t="shared" si="40"/>
        <v>0.2559209471569517</v>
      </c>
      <c r="V341" s="14">
        <f t="shared" si="35"/>
        <v>0.02134191715219913</v>
      </c>
      <c r="W341" s="14">
        <f t="shared" si="36"/>
        <v>-0.044940992226818466</v>
      </c>
      <c r="X341" s="14">
        <f t="shared" si="37"/>
        <v>-0.020161346406702307</v>
      </c>
      <c r="Y341" s="14">
        <f t="shared" si="38"/>
        <v>-0.019182709450802804</v>
      </c>
      <c r="Z341" s="15">
        <f t="shared" si="41"/>
        <v>0.19297781622482724</v>
      </c>
    </row>
    <row r="342" spans="18:26" ht="12">
      <c r="R342" s="13">
        <v>878.291780035434</v>
      </c>
      <c r="S342" s="13">
        <f t="shared" si="34"/>
        <v>0.12513537432506222</v>
      </c>
      <c r="T342" s="13">
        <f t="shared" si="39"/>
        <v>0.01563843924022815</v>
      </c>
      <c r="U342" s="14">
        <f t="shared" si="40"/>
        <v>0.2600762864046189</v>
      </c>
      <c r="V342" s="14">
        <f t="shared" si="35"/>
        <v>0.02053868405796777</v>
      </c>
      <c r="W342" s="14">
        <f t="shared" si="36"/>
        <v>-0.0467516473727736</v>
      </c>
      <c r="X342" s="14">
        <f t="shared" si="37"/>
        <v>-0.01939261398404568</v>
      </c>
      <c r="Y342" s="14">
        <f t="shared" si="38"/>
        <v>-0.01827630897309973</v>
      </c>
      <c r="Z342" s="15">
        <f t="shared" si="41"/>
        <v>0.19619440013266765</v>
      </c>
    </row>
    <row r="343" spans="18:26" ht="12">
      <c r="R343" s="13">
        <v>895.8576156361428</v>
      </c>
      <c r="S343" s="13">
        <f t="shared" si="34"/>
        <v>0.12763808181156347</v>
      </c>
      <c r="T343" s="13">
        <f t="shared" si="39"/>
        <v>0.016269374242851766</v>
      </c>
      <c r="U343" s="14">
        <f t="shared" si="40"/>
        <v>0.2638642601547794</v>
      </c>
      <c r="V343" s="14">
        <f t="shared" si="35"/>
        <v>0.01976452591750899</v>
      </c>
      <c r="W343" s="14">
        <f t="shared" si="36"/>
        <v>-0.04863502352502724</v>
      </c>
      <c r="X343" s="14">
        <f t="shared" si="37"/>
        <v>-0.018652495130218938</v>
      </c>
      <c r="Y343" s="14">
        <f t="shared" si="38"/>
        <v>-0.01741915154589435</v>
      </c>
      <c r="Z343" s="15">
        <f t="shared" si="41"/>
        <v>0.19892211587114783</v>
      </c>
    </row>
    <row r="344" spans="18:26" ht="12">
      <c r="R344" s="13">
        <v>913.7747679488657</v>
      </c>
      <c r="S344" s="13">
        <f t="shared" si="34"/>
        <v>0.13019084344779475</v>
      </c>
      <c r="T344" s="13">
        <f t="shared" si="39"/>
        <v>0.016925728337477804</v>
      </c>
      <c r="U344" s="14">
        <f t="shared" si="40"/>
        <v>0.2672240175338132</v>
      </c>
      <c r="V344" s="14">
        <f t="shared" si="35"/>
        <v>0.019018475901432907</v>
      </c>
      <c r="W344" s="14">
        <f t="shared" si="36"/>
        <v>-0.050594020587149124</v>
      </c>
      <c r="X344" s="14">
        <f t="shared" si="37"/>
        <v>-0.017939973660702435</v>
      </c>
      <c r="Y344" s="14">
        <f t="shared" si="38"/>
        <v>-0.016608019827728526</v>
      </c>
      <c r="Z344" s="15">
        <f t="shared" si="41"/>
        <v>0.20110047935966602</v>
      </c>
    </row>
    <row r="345" spans="18:26" ht="12">
      <c r="R345" s="13">
        <v>932.050263307843</v>
      </c>
      <c r="S345" s="13">
        <f t="shared" si="34"/>
        <v>0.13279466031675063</v>
      </c>
      <c r="T345" s="13">
        <f t="shared" si="39"/>
        <v>0.01760852263398515</v>
      </c>
      <c r="U345" s="14">
        <f t="shared" si="40"/>
        <v>0.27008846716236334</v>
      </c>
      <c r="V345" s="14">
        <f t="shared" si="35"/>
        <v>0.01829959225494804</v>
      </c>
      <c r="W345" s="14">
        <f t="shared" si="36"/>
        <v>-0.05263165214732535</v>
      </c>
      <c r="X345" s="14">
        <f t="shared" si="37"/>
        <v>-0.01725406554652409</v>
      </c>
      <c r="Y345" s="14">
        <f t="shared" si="38"/>
        <v>-0.01583995158458862</v>
      </c>
      <c r="Z345" s="15">
        <f t="shared" si="41"/>
        <v>0.20266239013887333</v>
      </c>
    </row>
    <row r="346" spans="18:26" ht="12">
      <c r="R346" s="13">
        <v>950.6912685739999</v>
      </c>
      <c r="S346" s="13">
        <f t="shared" si="34"/>
        <v>0.1354505535230857</v>
      </c>
      <c r="T346" s="13">
        <f t="shared" si="39"/>
        <v>0.018318819015853766</v>
      </c>
      <c r="U346" s="14">
        <f t="shared" si="40"/>
        <v>0.2723837602292285</v>
      </c>
      <c r="V346" s="14">
        <f t="shared" si="35"/>
        <v>0.01760695828662051</v>
      </c>
      <c r="W346" s="14">
        <f t="shared" si="36"/>
        <v>-0.05475104974149847</v>
      </c>
      <c r="X346" s="14">
        <f t="shared" si="37"/>
        <v>-0.01659381823026962</v>
      </c>
      <c r="Y346" s="14">
        <f t="shared" si="38"/>
        <v>-0.015112215687757669</v>
      </c>
      <c r="Z346" s="15">
        <f t="shared" si="41"/>
        <v>0.20353363485632325</v>
      </c>
    </row>
    <row r="347" spans="18:26" ht="12">
      <c r="R347" s="13">
        <v>969.7050939454799</v>
      </c>
      <c r="S347" s="13">
        <f t="shared" si="34"/>
        <v>0.1381595645935474</v>
      </c>
      <c r="T347" s="13">
        <f t="shared" si="39"/>
        <v>0.0190577217479936</v>
      </c>
      <c r="U347" s="14">
        <f t="shared" si="40"/>
        <v>0.27402874476268124</v>
      </c>
      <c r="V347" s="14">
        <f t="shared" si="35"/>
        <v>0.016939682282867352</v>
      </c>
      <c r="W347" s="14">
        <f t="shared" si="36"/>
        <v>-0.05695546725589118</v>
      </c>
      <c r="X347" s="14">
        <f t="shared" si="37"/>
        <v>-0.015958309924862135</v>
      </c>
      <c r="Y347" s="14">
        <f t="shared" si="38"/>
        <v>-0.01442229071155765</v>
      </c>
      <c r="Z347" s="15">
        <f t="shared" si="41"/>
        <v>0.20363235915323763</v>
      </c>
    </row>
    <row r="348" spans="18:26" ht="12">
      <c r="R348" s="13">
        <v>989.0991958243895</v>
      </c>
      <c r="S348" s="13">
        <f t="shared" si="34"/>
        <v>0.14092275588541833</v>
      </c>
      <c r="T348" s="13">
        <f t="shared" si="39"/>
        <v>0.01982637914629027</v>
      </c>
      <c r="U348" s="14">
        <f t="shared" si="40"/>
        <v>0.2749343922982135</v>
      </c>
      <c r="V348" s="14">
        <f t="shared" si="35"/>
        <v>0.016296897356923523</v>
      </c>
      <c r="W348" s="14">
        <f t="shared" si="36"/>
        <v>-0.05924828547107275</v>
      </c>
      <c r="X348" s="14">
        <f t="shared" si="37"/>
        <v>-0.015346648898884041</v>
      </c>
      <c r="Y348" s="14">
        <f t="shared" si="38"/>
        <v>-0.013767845814335544</v>
      </c>
      <c r="Z348" s="15">
        <f t="shared" si="41"/>
        <v>0.20286850947084467</v>
      </c>
    </row>
    <row r="349" spans="18:26" ht="12">
      <c r="R349" s="13">
        <v>1008.8811797408773</v>
      </c>
      <c r="S349" s="13">
        <f t="shared" si="34"/>
        <v>0.1437412110031267</v>
      </c>
      <c r="T349" s="13">
        <f t="shared" si="39"/>
        <v>0.020625985311094615</v>
      </c>
      <c r="U349" s="14">
        <f t="shared" si="40"/>
        <v>0.2750031989182027</v>
      </c>
      <c r="V349" s="14">
        <f t="shared" si="35"/>
        <v>0.015677761240148413</v>
      </c>
      <c r="W349" s="14">
        <f t="shared" si="36"/>
        <v>-0.06163301674946897</v>
      </c>
      <c r="X349" s="14">
        <f t="shared" si="37"/>
        <v>-0.014757972752541093</v>
      </c>
      <c r="Y349" s="14">
        <f t="shared" si="38"/>
        <v>-0.013146723628409518</v>
      </c>
      <c r="Z349" s="15">
        <f t="shared" si="41"/>
        <v>0.20114324702793152</v>
      </c>
    </row>
    <row r="350" spans="18:26" ht="12">
      <c r="R350" s="13">
        <v>1029.0588033356948</v>
      </c>
      <c r="S350" s="13">
        <f t="shared" si="34"/>
        <v>0.14661603522318925</v>
      </c>
      <c r="T350" s="13">
        <f t="shared" si="39"/>
        <v>0.021457781926952333</v>
      </c>
      <c r="U350" s="14">
        <f t="shared" si="40"/>
        <v>0.2741285635763191</v>
      </c>
      <c r="V350" s="14">
        <f t="shared" si="35"/>
        <v>0.015081456023025908</v>
      </c>
      <c r="W350" s="14">
        <f t="shared" si="36"/>
        <v>-0.06411330986781305</v>
      </c>
      <c r="X350" s="14">
        <f t="shared" si="37"/>
        <v>-0.014191447687181835</v>
      </c>
      <c r="Y350" s="14">
        <f t="shared" si="38"/>
        <v>-0.012556924921668156</v>
      </c>
      <c r="Z350" s="15">
        <f t="shared" si="41"/>
        <v>0.19834833712268196</v>
      </c>
    </row>
    <row r="351" spans="18:26" ht="12">
      <c r="R351" s="13">
        <v>1049.6399794024087</v>
      </c>
      <c r="S351" s="13">
        <f t="shared" si="34"/>
        <v>0.14954835592765303</v>
      </c>
      <c r="T351" s="13">
        <f t="shared" si="39"/>
        <v>0.022323060130938484</v>
      </c>
      <c r="U351" s="14">
        <f t="shared" si="40"/>
        <v>0.2721941477362897</v>
      </c>
      <c r="V351" s="14">
        <f t="shared" si="35"/>
        <v>0.014507187852125014</v>
      </c>
      <c r="W351" s="14">
        <f t="shared" si="36"/>
        <v>-0.06669295499567696</v>
      </c>
      <c r="X351" s="14">
        <f t="shared" si="37"/>
        <v>-0.01364626777159117</v>
      </c>
      <c r="Y351" s="14">
        <f t="shared" si="38"/>
        <v>-0.011996594824211115</v>
      </c>
      <c r="Z351" s="15">
        <f t="shared" si="41"/>
        <v>0.19436551799693547</v>
      </c>
    </row>
    <row r="352" spans="18:26" ht="12">
      <c r="R352" s="13">
        <v>1070.632778990457</v>
      </c>
      <c r="S352" s="13">
        <f t="shared" si="34"/>
        <v>0.15253932304620607</v>
      </c>
      <c r="T352" s="13">
        <f t="shared" si="39"/>
        <v>0.023223162452032202</v>
      </c>
      <c r="U352" s="14">
        <f t="shared" si="40"/>
        <v>0.2690732216705314</v>
      </c>
      <c r="V352" s="14">
        <f t="shared" si="35"/>
        <v>0.013954186589209883</v>
      </c>
      <c r="W352" s="14">
        <f t="shared" si="36"/>
        <v>-0.0693758888206677</v>
      </c>
      <c r="X352" s="14">
        <f t="shared" si="37"/>
        <v>-0.013121654207495226</v>
      </c>
      <c r="Y352" s="14">
        <f t="shared" si="38"/>
        <v>-0.011464010440029426</v>
      </c>
      <c r="Z352" s="15">
        <f t="shared" si="41"/>
        <v>0.18906585479154892</v>
      </c>
    </row>
    <row r="353" spans="18:26" ht="12">
      <c r="R353" s="13">
        <v>1092.045434570266</v>
      </c>
      <c r="S353" s="13">
        <f t="shared" si="34"/>
        <v>0.1555901095071302</v>
      </c>
      <c r="T353" s="13">
        <f t="shared" si="39"/>
        <v>0.024159484824037427</v>
      </c>
      <c r="U353" s="14">
        <f t="shared" si="40"/>
        <v>0.2646280042931757</v>
      </c>
      <c r="V353" s="14">
        <f t="shared" si="35"/>
        <v>0.013421705437636433</v>
      </c>
      <c r="W353" s="14">
        <f t="shared" si="36"/>
        <v>-0.0721661998203258</v>
      </c>
      <c r="X353" s="14">
        <f t="shared" si="37"/>
        <v>-0.012616854596707583</v>
      </c>
      <c r="Y353" s="14">
        <f t="shared" si="38"/>
        <v>-0.010957569687107593</v>
      </c>
      <c r="Z353" s="15">
        <f t="shared" si="41"/>
        <v>0.18230908562667114</v>
      </c>
    </row>
    <row r="354" spans="18:26" ht="12">
      <c r="R354" s="13">
        <v>1113.8863432616713</v>
      </c>
      <c r="S354" s="13">
        <f t="shared" si="34"/>
        <v>0.1587019116972728</v>
      </c>
      <c r="T354" s="13">
        <f t="shared" si="39"/>
        <v>0.025133478674627292</v>
      </c>
      <c r="U354" s="14">
        <f t="shared" si="40"/>
        <v>0.2587090051575913</v>
      </c>
      <c r="V354" s="14">
        <f t="shared" si="35"/>
        <v>0.012909020540966765</v>
      </c>
      <c r="W354" s="14">
        <f t="shared" si="36"/>
        <v>-0.07506813368012288</v>
      </c>
      <c r="X354" s="14">
        <f t="shared" si="37"/>
        <v>-0.012131142211813994</v>
      </c>
      <c r="Y354" s="14">
        <f t="shared" si="38"/>
        <v>-0.010475781228343806</v>
      </c>
      <c r="Z354" s="15">
        <f t="shared" si="41"/>
        <v>0.1739429685782774</v>
      </c>
    </row>
    <row r="355" spans="18:26" ht="12">
      <c r="R355" s="13">
        <v>1136.1640701269048</v>
      </c>
      <c r="S355" s="13">
        <f t="shared" si="34"/>
        <v>0.16187594993121826</v>
      </c>
      <c r="T355" s="13">
        <f t="shared" si="39"/>
        <v>0.026146653093161686</v>
      </c>
      <c r="U355" s="14">
        <f t="shared" si="40"/>
        <v>0.25115437923567896</v>
      </c>
      <c r="V355" s="14">
        <f t="shared" si="35"/>
        <v>0.012415430558114338</v>
      </c>
      <c r="W355" s="14">
        <f t="shared" si="36"/>
        <v>-0.07808609885608497</v>
      </c>
      <c r="X355" s="14">
        <f t="shared" si="37"/>
        <v>-0.011663815272360267</v>
      </c>
      <c r="Y355" s="14">
        <f t="shared" si="38"/>
        <v>-0.010017255373334422</v>
      </c>
      <c r="Z355" s="15">
        <f t="shared" si="41"/>
        <v>0.16380264029201363</v>
      </c>
    </row>
    <row r="356" spans="18:26" ht="12">
      <c r="R356" s="13">
        <v>1158.8873515294429</v>
      </c>
      <c r="S356" s="13">
        <f t="shared" si="34"/>
        <v>0.16511346892984263</v>
      </c>
      <c r="T356" s="13">
        <f t="shared" si="39"/>
        <v>0.027200577079999566</v>
      </c>
      <c r="U356" s="14">
        <f t="shared" si="40"/>
        <v>0.24178930731145698</v>
      </c>
      <c r="V356" s="14">
        <f t="shared" si="35"/>
        <v>0.011940256219091339</v>
      </c>
      <c r="W356" s="14">
        <f t="shared" si="36"/>
        <v>-0.08122467227976404</v>
      </c>
      <c r="X356" s="14">
        <f t="shared" si="37"/>
        <v>-0.011214196227975037</v>
      </c>
      <c r="Y356" s="14">
        <f t="shared" si="38"/>
        <v>-0.00958069584523713</v>
      </c>
      <c r="Z356" s="15">
        <f t="shared" si="41"/>
        <v>0.1517099991775721</v>
      </c>
    </row>
    <row r="357" spans="18:26" ht="12">
      <c r="R357" s="13">
        <v>1182.0650985600319</v>
      </c>
      <c r="S357" s="13">
        <f t="shared" si="34"/>
        <v>0.16841573830843948</v>
      </c>
      <c r="T357" s="13">
        <f t="shared" si="39"/>
        <v>0.02829688188010029</v>
      </c>
      <c r="U357" s="14">
        <f t="shared" si="40"/>
        <v>0.23042541724950638</v>
      </c>
      <c r="V357" s="14">
        <f t="shared" si="35"/>
        <v>0.011482839864726202</v>
      </c>
      <c r="W357" s="14">
        <f t="shared" si="36"/>
        <v>-0.08448860520215984</v>
      </c>
      <c r="X357" s="14">
        <f t="shared" si="37"/>
        <v>-0.010781631049919582</v>
      </c>
      <c r="Y357" s="14">
        <f t="shared" si="38"/>
        <v>-0.00916489231999762</v>
      </c>
      <c r="Z357" s="15">
        <f t="shared" si="41"/>
        <v>0.13747312854215554</v>
      </c>
    </row>
    <row r="358" spans="18:26" ht="12">
      <c r="R358" s="13">
        <v>1205.7064005312325</v>
      </c>
      <c r="S358" s="13">
        <f t="shared" si="34"/>
        <v>0.17178405307460828</v>
      </c>
      <c r="T358" s="13">
        <f t="shared" si="39"/>
        <v>0.02943726340378014</v>
      </c>
      <c r="U358" s="14">
        <f t="shared" si="40"/>
        <v>0.21686026400740133</v>
      </c>
      <c r="V358" s="14">
        <f t="shared" si="35"/>
        <v>0.01104254497371926</v>
      </c>
      <c r="W358" s="14">
        <f t="shared" si="36"/>
        <v>-0.08788282917202928</v>
      </c>
      <c r="X358" s="14">
        <f t="shared" si="37"/>
        <v>-0.010365488532112721</v>
      </c>
      <c r="Y358" s="14">
        <f t="shared" si="38"/>
        <v>-0.008768713656142069</v>
      </c>
      <c r="Z358" s="15">
        <f t="shared" si="41"/>
        <v>0.12088577762083652</v>
      </c>
    </row>
    <row r="359" spans="18:26" ht="12">
      <c r="R359" s="13">
        <v>1229.8205285418571</v>
      </c>
      <c r="S359" s="13">
        <f t="shared" si="34"/>
        <v>0.17521973413610042</v>
      </c>
      <c r="T359" s="13">
        <f t="shared" si="39"/>
        <v>0.030623484737562153</v>
      </c>
      <c r="U359" s="14">
        <f t="shared" si="40"/>
        <v>0.20087688899777945</v>
      </c>
      <c r="V359" s="14">
        <f t="shared" si="35"/>
        <v>0.010618755679725922</v>
      </c>
      <c r="W359" s="14">
        <f t="shared" si="36"/>
        <v>-0.09141246214261933</v>
      </c>
      <c r="X359" s="14">
        <f t="shared" si="37"/>
        <v>-0.009965159602799645</v>
      </c>
      <c r="Y359" s="14">
        <f t="shared" si="38"/>
        <v>-0.008391101742848406</v>
      </c>
      <c r="Z359" s="15">
        <f t="shared" si="41"/>
        <v>0.10172692118923798</v>
      </c>
    </row>
    <row r="360" spans="18:26" ht="12">
      <c r="R360" s="13">
        <v>1254.4169391126943</v>
      </c>
      <c r="S360" s="13">
        <f t="shared" si="34"/>
        <v>0.17872412881882246</v>
      </c>
      <c r="T360" s="13">
        <f t="shared" si="39"/>
        <v>0.0318573787481288</v>
      </c>
      <c r="U360" s="14">
        <f t="shared" si="40"/>
        <v>0.1822434821924972</v>
      </c>
      <c r="V360" s="14">
        <f t="shared" si="35"/>
        <v>0.010210876281256276</v>
      </c>
      <c r="W360" s="14">
        <f t="shared" si="36"/>
        <v>-0.09508281469926949</v>
      </c>
      <c r="X360" s="14">
        <f t="shared" si="37"/>
        <v>-0.0095800566476818</v>
      </c>
      <c r="Y360" s="14">
        <f t="shared" si="38"/>
        <v>-0.008031065902628143</v>
      </c>
      <c r="Z360" s="15">
        <f t="shared" si="41"/>
        <v>0.07976042122417404</v>
      </c>
    </row>
    <row r="361" spans="18:26" ht="12">
      <c r="R361" s="13">
        <v>1279.5052778949482</v>
      </c>
      <c r="S361" s="13">
        <f t="shared" si="34"/>
        <v>0.1822986113951989</v>
      </c>
      <c r="T361" s="13">
        <f t="shared" si="39"/>
        <v>0.03314085078245657</v>
      </c>
      <c r="U361" s="14">
        <f t="shared" si="40"/>
        <v>0.16071317309072342</v>
      </c>
      <c r="V361" s="14">
        <f t="shared" si="35"/>
        <v>0.009818330746490744</v>
      </c>
      <c r="W361" s="14">
        <f t="shared" si="36"/>
        <v>-0.09889939639850276</v>
      </c>
      <c r="X361" s="14">
        <f t="shared" si="37"/>
        <v>-0.009209612845165083</v>
      </c>
      <c r="Y361" s="14">
        <f t="shared" si="38"/>
        <v>-0.0076876777919601125</v>
      </c>
      <c r="Z361" s="15">
        <f t="shared" si="41"/>
        <v>0.054734816801586206</v>
      </c>
    </row>
    <row r="362" spans="18:26" ht="12">
      <c r="R362" s="13">
        <v>1305.0953834528473</v>
      </c>
      <c r="S362" s="13">
        <f t="shared" si="34"/>
        <v>0.1859445836231029</v>
      </c>
      <c r="T362" s="13">
        <f t="shared" si="39"/>
        <v>0.034475881467281456</v>
      </c>
      <c r="U362" s="14">
        <f t="shared" si="40"/>
        <v>0.13602397920387688</v>
      </c>
      <c r="V362" s="14">
        <f t="shared" si="35"/>
        <v>0.009440562215168313</v>
      </c>
      <c r="W362" s="14">
        <f t="shared" si="36"/>
        <v>-0.10286792220716023</v>
      </c>
      <c r="X362" s="14">
        <f t="shared" si="37"/>
        <v>-0.008853281514547007</v>
      </c>
      <c r="Y362" s="14">
        <f t="shared" si="38"/>
        <v>-0.007360066749924954</v>
      </c>
      <c r="Z362" s="15">
        <f t="shared" si="41"/>
        <v>0.026383270947412996</v>
      </c>
    </row>
    <row r="363" spans="18:26" ht="12">
      <c r="R363" s="13">
        <v>1331.1972911219043</v>
      </c>
      <c r="S363" s="13">
        <f t="shared" si="34"/>
        <v>0.189663475295565</v>
      </c>
      <c r="T363" s="13">
        <f t="shared" si="39"/>
        <v>0.03586452961111027</v>
      </c>
      <c r="U363" s="14">
        <f t="shared" si="40"/>
        <v>0.10789894286494572</v>
      </c>
      <c r="V363" s="14">
        <f t="shared" si="35"/>
        <v>0.00907703249939118</v>
      </c>
      <c r="W363" s="14">
        <f t="shared" si="36"/>
        <v>-0.10699431902770051</v>
      </c>
      <c r="X363" s="14">
        <f t="shared" si="37"/>
        <v>-0.00851053547740932</v>
      </c>
      <c r="Y363" s="14">
        <f t="shared" si="38"/>
        <v>-0.007047415550083258</v>
      </c>
      <c r="Z363" s="15">
        <f t="shared" si="41"/>
        <v>-0.005576294690856187</v>
      </c>
    </row>
    <row r="364" spans="18:26" ht="12">
      <c r="R364" s="13">
        <v>1357.8212369443424</v>
      </c>
      <c r="S364" s="13">
        <f t="shared" si="34"/>
        <v>0.1934567448014763</v>
      </c>
      <c r="T364" s="13">
        <f t="shared" si="39"/>
        <v>0.037308935212058705</v>
      </c>
      <c r="U364" s="14">
        <f t="shared" si="40"/>
        <v>0.07604648873329722</v>
      </c>
      <c r="V364" s="14">
        <f t="shared" si="35"/>
        <v>0.008727221584930334</v>
      </c>
      <c r="W364" s="14">
        <f t="shared" si="36"/>
        <v>-0.11128473229307634</v>
      </c>
      <c r="X364" s="14">
        <f t="shared" si="37"/>
        <v>-0.008180866432834222</v>
      </c>
      <c r="Y364" s="14">
        <f t="shared" si="38"/>
        <v>-0.006748956516247517</v>
      </c>
      <c r="Z364" s="15">
        <f t="shared" si="41"/>
        <v>-0.04144084492393052</v>
      </c>
    </row>
    <row r="365" spans="18:26" ht="12">
      <c r="R365" s="13">
        <v>1384.9776616832294</v>
      </c>
      <c r="S365" s="13">
        <f t="shared" si="34"/>
        <v>0.19732587969750584</v>
      </c>
      <c r="T365" s="13">
        <f t="shared" si="39"/>
        <v>0.038811322574859114</v>
      </c>
      <c r="U365" s="14">
        <f t="shared" si="40"/>
        <v>0.04016103508771707</v>
      </c>
      <c r="V365" s="14">
        <f t="shared" si="35"/>
        <v>0.008390627134449602</v>
      </c>
      <c r="W365" s="14">
        <f t="shared" si="36"/>
        <v>-0.11574553261152154</v>
      </c>
      <c r="X365" s="14">
        <f t="shared" si="37"/>
        <v>-0.007863784346636038</v>
      </c>
      <c r="Y365" s="14">
        <f t="shared" si="38"/>
        <v>-0.006463967966684692</v>
      </c>
      <c r="Z365" s="15">
        <f t="shared" si="41"/>
        <v>-0.0815216227026756</v>
      </c>
    </row>
    <row r="366" spans="18:26" ht="12">
      <c r="R366" s="13">
        <v>1412.677214916894</v>
      </c>
      <c r="S366" s="13">
        <f t="shared" si="34"/>
        <v>0.20127239729145593</v>
      </c>
      <c r="T366" s="13">
        <f t="shared" si="39"/>
        <v>0.04037400354043989</v>
      </c>
      <c r="U366" s="14">
        <f t="shared" si="40"/>
        <v>-7.610839747584919E-05</v>
      </c>
      <c r="V366" s="14">
        <f t="shared" si="35"/>
        <v>0.008066763994008852</v>
      </c>
      <c r="W366" s="14">
        <f t="shared" si="36"/>
        <v>-0.12038332243792116</v>
      </c>
      <c r="X366" s="14">
        <f t="shared" si="37"/>
        <v>-0.007558816854931649</v>
      </c>
      <c r="Y366" s="14">
        <f t="shared" si="38"/>
        <v>-0.0061917709553220845</v>
      </c>
      <c r="Z366" s="15">
        <f t="shared" si="41"/>
        <v>-0.1261432546516419</v>
      </c>
    </row>
    <row r="367" spans="18:26" ht="12">
      <c r="R367" s="13">
        <v>1440.9307592152318</v>
      </c>
      <c r="S367" s="13">
        <f t="shared" si="34"/>
        <v>0.20529784523728503</v>
      </c>
      <c r="T367" s="13">
        <f t="shared" si="39"/>
        <v>0.04199938083153479</v>
      </c>
      <c r="U367" s="14">
        <f t="shared" si="40"/>
        <v>-0.04499552551300923</v>
      </c>
      <c r="V367" s="14">
        <f t="shared" si="35"/>
        <v>0.0077551637038340004</v>
      </c>
      <c r="W367" s="14">
        <f t="shared" si="36"/>
        <v>-0.1252049427444959</v>
      </c>
      <c r="X367" s="14">
        <f t="shared" si="37"/>
        <v>-0.007265508682142041</v>
      </c>
      <c r="Y367" s="14">
        <f t="shared" si="38"/>
        <v>-0.005931726281762195</v>
      </c>
      <c r="Z367" s="15">
        <f t="shared" si="41"/>
        <v>-0.17564253951757536</v>
      </c>
    </row>
    <row r="368" spans="18:26" ht="12">
      <c r="R368" s="13">
        <v>1469.7493743995365</v>
      </c>
      <c r="S368" s="13">
        <f t="shared" si="34"/>
        <v>0.20940380214203075</v>
      </c>
      <c r="T368" s="13">
        <f t="shared" si="39"/>
        <v>0.04368995151783039</v>
      </c>
      <c r="U368" s="14">
        <f t="shared" si="40"/>
        <v>-0.09493813365588011</v>
      </c>
      <c r="V368" s="14">
        <f t="shared" si="35"/>
        <v>0.007455374014462279</v>
      </c>
      <c r="W368" s="14">
        <f t="shared" si="36"/>
        <v>-0.13021747965880248</v>
      </c>
      <c r="X368" s="14">
        <f t="shared" si="37"/>
        <v>-0.006983421073620377</v>
      </c>
      <c r="Y368" s="14">
        <f t="shared" si="38"/>
        <v>-0.005683231745088335</v>
      </c>
      <c r="Z368" s="15">
        <f t="shared" si="41"/>
        <v>-0.23036689211892902</v>
      </c>
    </row>
    <row r="369" spans="18:26" ht="12">
      <c r="R369" s="13">
        <v>1499.144361887527</v>
      </c>
      <c r="S369" s="13">
        <f t="shared" si="34"/>
        <v>0.21359187818487135</v>
      </c>
      <c r="T369" s="13">
        <f t="shared" si="39"/>
        <v>0.04544831060420748</v>
      </c>
      <c r="U369" s="14">
        <f t="shared" si="40"/>
        <v>-0.1502532573995481</v>
      </c>
      <c r="V369" s="14">
        <f t="shared" si="35"/>
        <v>0.007166958409015933</v>
      </c>
      <c r="W369" s="14">
        <f t="shared" si="36"/>
        <v>-0.13542827103183264</v>
      </c>
      <c r="X369" s="14">
        <f t="shared" si="37"/>
        <v>-0.006712131242903041</v>
      </c>
      <c r="Y369" s="14">
        <f t="shared" si="38"/>
        <v>-0.005445719618688116</v>
      </c>
      <c r="Z369" s="15">
        <f t="shared" si="41"/>
        <v>-0.29067242088395595</v>
      </c>
    </row>
    <row r="370" spans="18:26" ht="12">
      <c r="R370" s="13">
        <v>1529.1272491252778</v>
      </c>
      <c r="S370" s="13">
        <f t="shared" si="34"/>
        <v>0.2178637157485688</v>
      </c>
      <c r="T370" s="13">
        <f t="shared" si="39"/>
        <v>0.04727715474567127</v>
      </c>
      <c r="U370" s="14">
        <f t="shared" si="40"/>
        <v>-0.21129632133507315</v>
      </c>
      <c r="V370" s="14">
        <f t="shared" si="35"/>
        <v>0.006889495632396603</v>
      </c>
      <c r="W370" s="14">
        <f t="shared" si="36"/>
        <v>-0.14084491289294299</v>
      </c>
      <c r="X370" s="14">
        <f t="shared" si="37"/>
        <v>-0.006451231833590754</v>
      </c>
      <c r="Y370" s="14">
        <f t="shared" si="38"/>
        <v>-0.005218654326036187</v>
      </c>
      <c r="Z370" s="15">
        <f t="shared" si="41"/>
        <v>-0.35692162475524647</v>
      </c>
    </row>
    <row r="371" spans="18:26" ht="12">
      <c r="R371" s="13">
        <v>1559.7097941077834</v>
      </c>
      <c r="S371" s="13">
        <f t="shared" si="34"/>
        <v>0.2222209900635402</v>
      </c>
      <c r="T371" s="13">
        <f t="shared" si="39"/>
        <v>0.049179286092599646</v>
      </c>
      <c r="U371" s="14">
        <f t="shared" si="40"/>
        <v>-0.27842615802669357</v>
      </c>
      <c r="V371" s="14">
        <f t="shared" si="35"/>
        <v>0.006622579227979486</v>
      </c>
      <c r="W371" s="14">
        <f t="shared" si="36"/>
        <v>-0.14647526574150405</v>
      </c>
      <c r="X371" s="14">
        <f t="shared" si="37"/>
        <v>-0.006200330395870424</v>
      </c>
      <c r="Y371" s="14">
        <f t="shared" si="38"/>
        <v>-0.005001530299239221</v>
      </c>
      <c r="Z371" s="15">
        <f t="shared" si="41"/>
        <v>-0.4294807052353278</v>
      </c>
    </row>
    <row r="372" spans="18:26" ht="12">
      <c r="R372" s="13">
        <v>1590.9039899899392</v>
      </c>
      <c r="S372" s="13">
        <f t="shared" si="34"/>
        <v>0.226665409864811</v>
      </c>
      <c r="T372" s="13">
        <f t="shared" si="39"/>
        <v>0.05115761626996434</v>
      </c>
      <c r="U372" s="14">
        <f t="shared" si="40"/>
        <v>-0.35200193921521006</v>
      </c>
      <c r="V372" s="14">
        <f t="shared" si="35"/>
        <v>0.006365817082368608</v>
      </c>
      <c r="W372" s="14">
        <f t="shared" si="36"/>
        <v>-0.1523274606173617</v>
      </c>
      <c r="X372" s="14">
        <f t="shared" si="37"/>
        <v>-0.005959048877500095</v>
      </c>
      <c r="Y372" s="14">
        <f t="shared" si="38"/>
        <v>-0.004793870003819478</v>
      </c>
      <c r="Z372" s="15">
        <f aca="true" t="shared" si="42" ref="Z372:Z435">U372+V372+W372+X372+Y372</f>
        <v>-0.5087165016315227</v>
      </c>
    </row>
    <row r="373" spans="18:26" ht="12">
      <c r="R373" s="13">
        <v>1622.722069789738</v>
      </c>
      <c r="S373" s="13">
        <f aca="true" t="shared" si="43" ref="S373:S436">2*PI()*R373/44100</f>
        <v>0.23119871806210723</v>
      </c>
      <c r="T373" s="13">
        <f aca="true" t="shared" si="44" ref="T373:T436">4*(SIN(S373/2))^2</f>
        <v>0.053215170494197626</v>
      </c>
      <c r="U373" s="14">
        <f aca="true" t="shared" si="45" ref="U373:U436">10*LOG10(($G$116+$G$117+$G$118)^2+($G$116*$G$118*T373-($G$117*($G$116+$G$118)+4*$G$116*$G$118))*T373)-10*LOG10((1+$G$119+$G$120)^2+(1*$G$120*T373-($G$119*(1+$G$120)+4*1*$G$120))*T373)</f>
        <v>-0.4323797527899309</v>
      </c>
      <c r="V373" s="14">
        <f aca="true" t="shared" si="46" ref="V373:V436">10*LOG10(($G$121+$G$122+$G$123)^2+($G$121*$G$123*$T373-($G$122*($G$121+$G$123)+4*$G$121*$G$123))*$T373)-10*LOG10((1+$G$124+$G$125)^2+(1*$G$125*$T373-($G$124*(1+$G$125)+4*1*$G$125))*$T373)</f>
        <v>0.00611883097872834</v>
      </c>
      <c r="W373" s="14">
        <f aca="true" t="shared" si="47" ref="W373:W436">10*LOG10(($G$126+$G$127+$G$128)^2+($G$126*$G$128*$T373-($G$127*($G$126+$G$128)+4*$G$126*$G$128))*$T373)-10*LOG10((1+$G$129+$G$130)^2+(1*$G$130*$T373-($G$129*(1+$G$130)+4*1*$G$130))*$T373)</f>
        <v>-0.15840990488323392</v>
      </c>
      <c r="X373" s="14">
        <f aca="true" t="shared" si="48" ref="X373:X436">10*LOG10(($G$131+$G$132+$G$133)^2+($G$131*$G$133*$T373-($G$132*($G$131+$G$133)+4*$G$131*$G$133))*$T373)-10*LOG10((1+$G$134+$G$135)^2+(1*$G$135*$T373-($G$134*(1+$G$135)+4*1*$G$135))*$T373)</f>
        <v>-0.005727023129221465</v>
      </c>
      <c r="Y373" s="14">
        <f aca="true" t="shared" si="49" ref="Y373:Y436">10*LOG10(($G$136+$G$137+$G$138)^2+($G$136*$G$138*$T373-($G$137*($G$136+$G$138)+4*$G$136*$G$138))*$T373)-10*LOG10((1+$G$139+$G$140)^2+(1*$G$140*$T373-($G$139*(1+$G$140)+4*1*$G$140))*$T373)</f>
        <v>-0.004595222115352016</v>
      </c>
      <c r="Z373" s="15">
        <f t="shared" si="42"/>
        <v>-0.59499307193901</v>
      </c>
    </row>
    <row r="374" spans="18:26" ht="12">
      <c r="R374" s="13">
        <v>1655.176511185533</v>
      </c>
      <c r="S374" s="13">
        <f t="shared" si="43"/>
        <v>0.23582269242334938</v>
      </c>
      <c r="T374" s="13">
        <f t="shared" si="44"/>
        <v>0.05535509183138445</v>
      </c>
      <c r="U374" s="14">
        <f t="shared" si="45"/>
        <v>-0.5199088641351928</v>
      </c>
      <c r="V374" s="14">
        <f t="shared" si="46"/>
        <v>0.005881256158914994</v>
      </c>
      <c r="W374" s="14">
        <f t="shared" si="47"/>
        <v>-0.16473128764212763</v>
      </c>
      <c r="X374" s="14">
        <f t="shared" si="48"/>
        <v>-0.005503902424432994</v>
      </c>
      <c r="Y374" s="14">
        <f t="shared" si="49"/>
        <v>-0.004405159834330874</v>
      </c>
      <c r="Z374" s="15">
        <f t="shared" si="42"/>
        <v>-0.6886679578771693</v>
      </c>
    </row>
    <row r="375" spans="18:26" ht="12">
      <c r="R375" s="13">
        <v>1688.2800414092437</v>
      </c>
      <c r="S375" s="13">
        <f t="shared" si="43"/>
        <v>0.24053914627181644</v>
      </c>
      <c r="T375" s="13">
        <f t="shared" si="44"/>
        <v>0.05758064560045697</v>
      </c>
      <c r="U375" s="14">
        <f t="shared" si="45"/>
        <v>-0.6149277176165278</v>
      </c>
      <c r="V375" s="14">
        <f t="shared" si="46"/>
        <v>0.005652740894880992</v>
      </c>
      <c r="W375" s="14">
        <f t="shared" si="47"/>
        <v>-0.17130058470118925</v>
      </c>
      <c r="X375" s="14">
        <f t="shared" si="48"/>
        <v>-0.005289348992967291</v>
      </c>
      <c r="Y375" s="14">
        <f t="shared" si="49"/>
        <v>-0.0042232793275829295</v>
      </c>
      <c r="Z375" s="15">
        <f t="shared" si="42"/>
        <v>-0.7900881897433862</v>
      </c>
    </row>
    <row r="376" spans="18:26" ht="12">
      <c r="R376" s="13">
        <v>1722.0456422374286</v>
      </c>
      <c r="S376" s="13">
        <f t="shared" si="43"/>
        <v>0.24534992919725276</v>
      </c>
      <c r="T376" s="13">
        <f t="shared" si="44"/>
        <v>0.05989522392505259</v>
      </c>
      <c r="U376" s="14">
        <f t="shared" si="45"/>
        <v>-0.7177597513507514</v>
      </c>
      <c r="V376" s="14">
        <f t="shared" si="46"/>
        <v>0.005432946069468869</v>
      </c>
      <c r="W376" s="14">
        <f t="shared" si="47"/>
        <v>-0.17812706298031422</v>
      </c>
      <c r="X376" s="14">
        <f t="shared" si="48"/>
        <v>-0.005083037568706317</v>
      </c>
      <c r="Y376" s="14">
        <f t="shared" si="49"/>
        <v>-0.004049198285180466</v>
      </c>
      <c r="Z376" s="15">
        <f t="shared" si="42"/>
        <v>-0.8995861041154836</v>
      </c>
    </row>
    <row r="377" spans="18:26" ht="12">
      <c r="R377" s="13">
        <v>1756.4865550821773</v>
      </c>
      <c r="S377" s="13">
        <f t="shared" si="43"/>
        <v>0.2502569277811978</v>
      </c>
      <c r="T377" s="13">
        <f t="shared" si="44"/>
        <v>0.062302350437668144</v>
      </c>
      <c r="U377" s="14">
        <f t="shared" si="45"/>
        <v>-0.8287091149526482</v>
      </c>
      <c r="V377" s="14">
        <f t="shared" si="46"/>
        <v>0.005221544766854436</v>
      </c>
      <c r="W377" s="14">
        <f t="shared" si="47"/>
        <v>-0.18522028424875625</v>
      </c>
      <c r="X377" s="14">
        <f t="shared" si="48"/>
        <v>-0.004884654950899403</v>
      </c>
      <c r="Y377" s="14">
        <f t="shared" si="49"/>
        <v>-0.0038825545832281705</v>
      </c>
      <c r="Z377" s="15">
        <f t="shared" si="42"/>
        <v>-1.0174750639686776</v>
      </c>
    </row>
    <row r="378" spans="18:26" ht="12">
      <c r="R378" s="13">
        <v>1791.6162861838209</v>
      </c>
      <c r="S378" s="13">
        <f t="shared" si="43"/>
        <v>0.2552620663368218</v>
      </c>
      <c r="T378" s="13">
        <f t="shared" si="44"/>
        <v>0.06480568513969699</v>
      </c>
      <c r="U378" s="14">
        <f t="shared" si="45"/>
        <v>-0.9480563944703668</v>
      </c>
      <c r="V378" s="14">
        <f t="shared" si="46"/>
        <v>0.005018221872763462</v>
      </c>
      <c r="W378" s="14">
        <f t="shared" si="47"/>
        <v>-0.1925901080559056</v>
      </c>
      <c r="X378" s="14">
        <f t="shared" si="48"/>
        <v>-0.004693899578946059</v>
      </c>
      <c r="Y378" s="14">
        <f t="shared" si="49"/>
        <v>-0.0037230050436072304</v>
      </c>
      <c r="Z378" s="15">
        <f t="shared" si="42"/>
        <v>-1.1440451852760622</v>
      </c>
    </row>
    <row r="379" spans="18:26" ht="12">
      <c r="R379" s="13">
        <v>1827.4486119074973</v>
      </c>
      <c r="S379" s="13">
        <f t="shared" si="43"/>
        <v>0.2603673076635582</v>
      </c>
      <c r="T379" s="13">
        <f t="shared" si="44"/>
        <v>0.06740902942087536</v>
      </c>
      <c r="U379" s="14">
        <f t="shared" si="45"/>
        <v>-1.0760544599584918</v>
      </c>
      <c r="V379" s="14">
        <f t="shared" si="46"/>
        <v>0.004822673684508061</v>
      </c>
      <c r="W379" s="14">
        <f t="shared" si="47"/>
        <v>-0.2002466937028382</v>
      </c>
      <c r="X379" s="14">
        <f t="shared" si="48"/>
        <v>-0.004510481120341581</v>
      </c>
      <c r="Y379" s="14">
        <f t="shared" si="49"/>
        <v>-0.003570224282540835</v>
      </c>
      <c r="Z379" s="15">
        <f t="shared" si="42"/>
        <v>-1.2795591853797044</v>
      </c>
    </row>
    <row r="380" spans="18:26" ht="12">
      <c r="R380" s="13">
        <v>1863.9975841456471</v>
      </c>
      <c r="S380" s="13">
        <f t="shared" si="43"/>
        <v>0.2655746538168294</v>
      </c>
      <c r="T380" s="13">
        <f t="shared" si="44"/>
        <v>0.07011633124158385</v>
      </c>
      <c r="U380" s="14">
        <f t="shared" si="45"/>
        <v>-1.212924557893981</v>
      </c>
      <c r="V380" s="14">
        <f t="shared" si="46"/>
        <v>0.0046346075309777746</v>
      </c>
      <c r="W380" s="14">
        <f t="shared" si="47"/>
        <v>-0.20820050107897092</v>
      </c>
      <c r="X380" s="14">
        <f t="shared" si="48"/>
        <v>-0.0043341200715474315</v>
      </c>
      <c r="Y380" s="14">
        <f t="shared" si="49"/>
        <v>-0.0034239036409360324</v>
      </c>
      <c r="Z380" s="15">
        <f t="shared" si="42"/>
        <v>-1.4242484751544575</v>
      </c>
    </row>
    <row r="381" spans="18:26" ht="12">
      <c r="R381" s="13">
        <v>1901.27753582856</v>
      </c>
      <c r="S381" s="13">
        <f t="shared" si="43"/>
        <v>0.2708861468931659</v>
      </c>
      <c r="T381" s="13">
        <f t="shared" si="44"/>
        <v>0.07293169048134765</v>
      </c>
      <c r="U381" s="14">
        <f t="shared" si="45"/>
        <v>-1.3588527719025763</v>
      </c>
      <c r="V381" s="14">
        <f t="shared" si="46"/>
        <v>0.004453741402535627</v>
      </c>
      <c r="W381" s="14">
        <f t="shared" si="47"/>
        <v>-0.21646229016276397</v>
      </c>
      <c r="X381" s="14">
        <f t="shared" si="48"/>
        <v>-0.004164547371615868</v>
      </c>
      <c r="Y381" s="14">
        <f t="shared" si="49"/>
        <v>-0.0032837501895564003</v>
      </c>
      <c r="Z381" s="15">
        <f t="shared" si="42"/>
        <v>-1.5783096182239769</v>
      </c>
    </row>
    <row r="382" spans="18:26" ht="12">
      <c r="R382" s="13">
        <v>1939.3030865451312</v>
      </c>
      <c r="S382" s="13">
        <f t="shared" si="43"/>
        <v>0.2763038698310293</v>
      </c>
      <c r="T382" s="13">
        <f t="shared" si="44"/>
        <v>0.0758593644567556</v>
      </c>
      <c r="U382" s="14">
        <f t="shared" si="45"/>
        <v>-1.5139869703351074</v>
      </c>
      <c r="V382" s="14">
        <f t="shared" si="46"/>
        <v>0.004279803590808484</v>
      </c>
      <c r="W382" s="14">
        <f t="shared" si="47"/>
        <v>-0.22504311895634288</v>
      </c>
      <c r="X382" s="14">
        <f t="shared" si="48"/>
        <v>-0.004001504028117608</v>
      </c>
      <c r="Y382" s="14">
        <f t="shared" si="49"/>
        <v>-0.003149485803312757</v>
      </c>
      <c r="Z382" s="15">
        <f t="shared" si="42"/>
        <v>-1.7419012755320722</v>
      </c>
    </row>
    <row r="383" spans="18:26" ht="12">
      <c r="R383" s="13">
        <v>1978.089148276034</v>
      </c>
      <c r="S383" s="13">
        <f t="shared" si="43"/>
        <v>0.28182994722764987</v>
      </c>
      <c r="T383" s="13">
        <f t="shared" si="44"/>
        <v>0.07890377361186741</v>
      </c>
      <c r="U383" s="14">
        <f t="shared" si="45"/>
        <v>-1.678434347847194</v>
      </c>
      <c r="V383" s="14">
        <f t="shared" si="46"/>
        <v>0.004112532338389485</v>
      </c>
      <c r="W383" s="14">
        <f t="shared" si="47"/>
        <v>-0.2339543395908219</v>
      </c>
      <c r="X383" s="14">
        <f t="shared" si="48"/>
        <v>-0.0038447407552197888</v>
      </c>
      <c r="Y383" s="14">
        <f t="shared" si="49"/>
        <v>-0.003020846298944946</v>
      </c>
      <c r="Z383" s="15">
        <f t="shared" si="42"/>
        <v>-1.915141742153791</v>
      </c>
    </row>
    <row r="384" spans="18:26" ht="12">
      <c r="R384" s="13">
        <v>2017.6509312415546</v>
      </c>
      <c r="S384" s="13">
        <f t="shared" si="43"/>
        <v>0.28746654617220285</v>
      </c>
      <c r="T384" s="13">
        <f t="shared" si="44"/>
        <v>0.0820695073840013</v>
      </c>
      <c r="U384" s="14">
        <f t="shared" si="45"/>
        <v>-1.8522596505311313</v>
      </c>
      <c r="V384" s="14">
        <f t="shared" si="46"/>
        <v>0.003951675498317542</v>
      </c>
      <c r="W384" s="14">
        <f t="shared" si="47"/>
        <v>-0.24320759230126665</v>
      </c>
      <c r="X384" s="14">
        <f t="shared" si="48"/>
        <v>-0.0036940176236583966</v>
      </c>
      <c r="Y384" s="14">
        <f t="shared" si="49"/>
        <v>-0.002897580631262997</v>
      </c>
      <c r="Z384" s="15">
        <f t="shared" si="42"/>
        <v>-2.098107165589002</v>
      </c>
    </row>
    <row r="385" spans="18:26" ht="12">
      <c r="R385" s="13">
        <v>2058.003949866386</v>
      </c>
      <c r="S385" s="13">
        <f t="shared" si="43"/>
        <v>0.29321587709564695</v>
      </c>
      <c r="T385" s="13">
        <f t="shared" si="44"/>
        <v>0.08536133024758334</v>
      </c>
      <c r="U385" s="14">
        <f t="shared" si="45"/>
        <v>-2.03548415109616</v>
      </c>
      <c r="V385" s="14">
        <f t="shared" si="46"/>
        <v>0.0037969902032557457</v>
      </c>
      <c r="W385" s="14">
        <f t="shared" si="47"/>
        <v>-0.2528147969269634</v>
      </c>
      <c r="X385" s="14">
        <f t="shared" si="48"/>
        <v>-0.003549103722104263</v>
      </c>
      <c r="Y385" s="14">
        <f t="shared" si="49"/>
        <v>-0.0027794501433078267</v>
      </c>
      <c r="Z385" s="15">
        <f t="shared" si="42"/>
        <v>-2.2908305116852796</v>
      </c>
    </row>
    <row r="386" spans="18:26" ht="12">
      <c r="R386" s="13">
        <v>2099.1640288637136</v>
      </c>
      <c r="S386" s="13">
        <f t="shared" si="43"/>
        <v>0.29908019463755986</v>
      </c>
      <c r="T386" s="13">
        <f t="shared" si="44"/>
        <v>0.08878418793849824</v>
      </c>
      <c r="U386" s="14">
        <f t="shared" si="45"/>
        <v>-2.2280854133583468</v>
      </c>
      <c r="V386" s="14">
        <f t="shared" si="46"/>
        <v>0.0036482425443011834</v>
      </c>
      <c r="W386" s="14">
        <f t="shared" si="47"/>
        <v>-0.26278814154324426</v>
      </c>
      <c r="X386" s="14">
        <f t="shared" si="48"/>
        <v>-0.0034097768299545805</v>
      </c>
      <c r="Y386" s="14">
        <f t="shared" si="49"/>
        <v>-0.0026662278662925587</v>
      </c>
      <c r="Z386" s="15">
        <f t="shared" si="42"/>
        <v>-2.493301317053537</v>
      </c>
    </row>
    <row r="387" spans="18:26" ht="12">
      <c r="R387" s="13">
        <v>2141.147309440988</v>
      </c>
      <c r="S387" s="13">
        <f t="shared" si="43"/>
        <v>0.30506179853031107</v>
      </c>
      <c r="T387" s="13">
        <f t="shared" si="44"/>
        <v>0.09234321386110018</v>
      </c>
      <c r="U387" s="14">
        <f t="shared" si="45"/>
        <v>-2.429997855545892</v>
      </c>
      <c r="V387" s="14">
        <f t="shared" si="46"/>
        <v>0.0035052072593018124</v>
      </c>
      <c r="W387" s="14">
        <f t="shared" si="47"/>
        <v>-0.27314006777461763</v>
      </c>
      <c r="X387" s="14">
        <f t="shared" si="48"/>
        <v>-0.003275823100970854</v>
      </c>
      <c r="Y387" s="14">
        <f t="shared" si="49"/>
        <v>-0.0025576978656012272</v>
      </c>
      <c r="Z387" s="15">
        <f t="shared" si="42"/>
        <v>-2.70546623702778</v>
      </c>
    </row>
    <row r="388" spans="18:26" ht="12">
      <c r="R388" s="13">
        <v>2183.970255629808</v>
      </c>
      <c r="S388" s="13">
        <f t="shared" si="43"/>
        <v>0.3111630345009173</v>
      </c>
      <c r="T388" s="13">
        <f t="shared" si="44"/>
        <v>0.09604373567971991</v>
      </c>
      <c r="U388" s="14">
        <f t="shared" si="45"/>
        <v>-2.641114091555707</v>
      </c>
      <c r="V388" s="14">
        <f t="shared" si="46"/>
        <v>0.003367667430403287</v>
      </c>
      <c r="W388" s="14">
        <f t="shared" si="47"/>
        <v>-0.28388325227424893</v>
      </c>
      <c r="X388" s="14">
        <f t="shared" si="48"/>
        <v>-0.0031470367575927582</v>
      </c>
      <c r="Y388" s="14">
        <f t="shared" si="49"/>
        <v>-0.0024536546291571426</v>
      </c>
      <c r="Z388" s="15">
        <f t="shared" si="42"/>
        <v>-2.9272303677863025</v>
      </c>
    </row>
    <row r="389" spans="18:26" ht="12">
      <c r="R389" s="13">
        <v>2227.649660742404</v>
      </c>
      <c r="S389" s="13">
        <f t="shared" si="43"/>
        <v>0.3173862951909357</v>
      </c>
      <c r="T389" s="13">
        <f t="shared" si="44"/>
        <v>0.0998912820961392</v>
      </c>
      <c r="U389" s="14">
        <f t="shared" si="45"/>
        <v>-2.8612870002794146</v>
      </c>
      <c r="V389" s="14">
        <f t="shared" si="46"/>
        <v>0.0032354141909607392</v>
      </c>
      <c r="W389" s="14">
        <f t="shared" si="47"/>
        <v>-0.2950305837808962</v>
      </c>
      <c r="X389" s="14">
        <f t="shared" si="48"/>
        <v>-0.0030232197957076323</v>
      </c>
      <c r="Y389" s="14">
        <f t="shared" si="49"/>
        <v>-0.0023539024953151966</v>
      </c>
      <c r="Z389" s="15">
        <f t="shared" si="42"/>
        <v>-3.158459292160373</v>
      </c>
    </row>
    <row r="390" spans="18:26" ht="12">
      <c r="R390" s="13">
        <v>2272.202653957252</v>
      </c>
      <c r="S390" s="13">
        <f t="shared" si="43"/>
        <v>0.32373402109475435</v>
      </c>
      <c r="T390" s="13">
        <f t="shared" si="44"/>
        <v>0.1038915898140867</v>
      </c>
      <c r="U390" s="14">
        <f t="shared" si="45"/>
        <v>-3.0903324472858316</v>
      </c>
      <c r="V390" s="14">
        <f t="shared" si="46"/>
        <v>0.0031082464413110245</v>
      </c>
      <c r="W390" s="14">
        <f t="shared" si="47"/>
        <v>-0.3065951350796414</v>
      </c>
      <c r="X390" s="14">
        <f t="shared" si="48"/>
        <v>-0.0029041816994066494</v>
      </c>
      <c r="Y390" s="14">
        <f t="shared" si="49"/>
        <v>-0.0022582551170309273</v>
      </c>
      <c r="Z390" s="15">
        <f t="shared" si="42"/>
        <v>-3.3989817727405995</v>
      </c>
    </row>
    <row r="391" spans="18:26" ht="12">
      <c r="R391" s="13">
        <v>2317.6467070363974</v>
      </c>
      <c r="S391" s="13">
        <f t="shared" si="43"/>
        <v>0.3302087015166495</v>
      </c>
      <c r="T391" s="13">
        <f t="shared" si="44"/>
        <v>0.10805061069134136</v>
      </c>
      <c r="U391" s="14">
        <f t="shared" si="45"/>
        <v>-3.3280325620294917</v>
      </c>
      <c r="V391" s="14">
        <f t="shared" si="46"/>
        <v>0.0029859705735049147</v>
      </c>
      <c r="W391" s="14">
        <f t="shared" si="47"/>
        <v>-0.3185901290958473</v>
      </c>
      <c r="X391" s="14">
        <f t="shared" si="48"/>
        <v>-0.0027897391656246384</v>
      </c>
      <c r="Y391" s="14">
        <f t="shared" si="49"/>
        <v>-0.002166534959869182</v>
      </c>
      <c r="Z391" s="15">
        <f t="shared" si="42"/>
        <v>-3.648592994677328</v>
      </c>
    </row>
    <row r="392" spans="18:26" ht="12">
      <c r="R392" s="13">
        <v>2363.9996411771253</v>
      </c>
      <c r="S392" s="13">
        <f t="shared" si="43"/>
        <v>0.33681287554698247</v>
      </c>
      <c r="T392" s="13">
        <f t="shared" si="44"/>
        <v>0.11237451907950029</v>
      </c>
      <c r="U392" s="14">
        <f t="shared" si="45"/>
        <v>-3.5741394584385695</v>
      </c>
      <c r="V392" s="14">
        <f t="shared" si="46"/>
        <v>0.002868400204711463</v>
      </c>
      <c r="W392" s="14">
        <f t="shared" si="47"/>
        <v>-0.3310288982405645</v>
      </c>
      <c r="X392" s="14">
        <f t="shared" si="48"/>
        <v>-0.002679715838258545</v>
      </c>
      <c r="Y392" s="14">
        <f t="shared" si="49"/>
        <v>-0.0020785728312731067</v>
      </c>
      <c r="Z392" s="15">
        <f t="shared" si="42"/>
        <v>-3.907058245143954</v>
      </c>
    </row>
    <row r="393" spans="18:26" ht="12">
      <c r="R393" s="13">
        <v>2411.279634000668</v>
      </c>
      <c r="S393" s="13">
        <f t="shared" si="43"/>
        <v>0.3435491330579222</v>
      </c>
      <c r="T393" s="13">
        <f t="shared" si="44"/>
        <v>0.11686971935087712</v>
      </c>
      <c r="U393" s="14">
        <f t="shared" si="45"/>
        <v>-3.8283792777903756</v>
      </c>
      <c r="V393" s="14">
        <f t="shared" si="46"/>
        <v>0.0027553559190813814</v>
      </c>
      <c r="W393" s="14">
        <f t="shared" si="47"/>
        <v>-0.34392483599840773</v>
      </c>
      <c r="X393" s="14">
        <f t="shared" si="48"/>
        <v>-0.0025739420515478173</v>
      </c>
      <c r="Y393" s="14">
        <f t="shared" si="49"/>
        <v>-0.0019942074389689424</v>
      </c>
      <c r="Z393" s="15">
        <f t="shared" si="42"/>
        <v>-4.174116907360219</v>
      </c>
    </row>
    <row r="394" spans="18:26" ht="12">
      <c r="R394" s="13">
        <v>2459.5052266806815</v>
      </c>
      <c r="S394" s="13">
        <f t="shared" si="43"/>
        <v>0.35042011571908066</v>
      </c>
      <c r="T394" s="13">
        <f t="shared" si="44"/>
        <v>0.12154285361133513</v>
      </c>
      <c r="U394" s="14">
        <f t="shared" si="45"/>
        <v>-4.090456430251773</v>
      </c>
      <c r="V394" s="14">
        <f t="shared" si="46"/>
        <v>0.002646665017962846</v>
      </c>
      <c r="W394" s="14">
        <f t="shared" si="47"/>
        <v>-0.3572913396029467</v>
      </c>
      <c r="X394" s="14">
        <f t="shared" si="48"/>
        <v>-0.002472254582396971</v>
      </c>
      <c r="Y394" s="14">
        <f t="shared" si="49"/>
        <v>-0.001913284976250651</v>
      </c>
      <c r="Z394" s="15">
        <f t="shared" si="42"/>
        <v>-4.449486644395405</v>
      </c>
    </row>
    <row r="395" spans="18:26" ht="12">
      <c r="R395" s="13">
        <v>2508.695331214295</v>
      </c>
      <c r="S395" s="13">
        <f t="shared" si="43"/>
        <v>0.3574285180334622</v>
      </c>
      <c r="T395" s="13">
        <f t="shared" si="44"/>
        <v>0.1264008095971217</v>
      </c>
      <c r="U395" s="14">
        <f t="shared" si="45"/>
        <v>-4.360057914902857</v>
      </c>
      <c r="V395" s="14">
        <f t="shared" si="46"/>
        <v>0.0025421612782103864</v>
      </c>
      <c r="W395" s="14">
        <f t="shared" si="47"/>
        <v>-0.371141742477473</v>
      </c>
      <c r="X395" s="14">
        <f t="shared" si="48"/>
        <v>-0.002374496411423621</v>
      </c>
      <c r="Y395" s="14">
        <f t="shared" si="49"/>
        <v>-0.0018356587324532825</v>
      </c>
      <c r="Z395" s="15">
        <f t="shared" si="42"/>
        <v>-4.732867651245996</v>
      </c>
    </row>
    <row r="396" spans="18:26" ht="12">
      <c r="R396" s="13">
        <v>2558.869237838581</v>
      </c>
      <c r="S396" s="13">
        <f t="shared" si="43"/>
        <v>0.36457708839413144</v>
      </c>
      <c r="T396" s="13">
        <f t="shared" si="44"/>
        <v>0.13145072875295208</v>
      </c>
      <c r="U396" s="14">
        <f t="shared" si="45"/>
        <v>-4.636857606645254</v>
      </c>
      <c r="V396" s="14">
        <f t="shared" si="46"/>
        <v>0.002441684718441195</v>
      </c>
      <c r="W396" s="14">
        <f t="shared" si="47"/>
        <v>-0.3854892349272552</v>
      </c>
      <c r="X396" s="14">
        <f t="shared" si="48"/>
        <v>-0.0022805164923944687</v>
      </c>
      <c r="Y396" s="14">
        <f t="shared" si="49"/>
        <v>-0.0017611887267321436</v>
      </c>
      <c r="Z396" s="15">
        <f t="shared" si="42"/>
        <v>-5.023946862073195</v>
      </c>
    </row>
    <row r="397" spans="18:26" ht="12">
      <c r="R397" s="13">
        <v>2610.0466225953523</v>
      </c>
      <c r="S397" s="13">
        <f t="shared" si="43"/>
        <v>0.37186863016201405</v>
      </c>
      <c r="T397" s="13">
        <f t="shared" si="44"/>
        <v>0.13670001448767868</v>
      </c>
      <c r="U397" s="14">
        <f t="shared" si="45"/>
        <v>-4.92052041102216</v>
      </c>
      <c r="V397" s="14">
        <f t="shared" si="46"/>
        <v>0.0023450813729901654</v>
      </c>
      <c r="W397" s="14">
        <f t="shared" si="47"/>
        <v>-0.40034677134961383</v>
      </c>
      <c r="X397" s="14">
        <f t="shared" si="48"/>
        <v>-0.002190169529878716</v>
      </c>
      <c r="Y397" s="14">
        <f t="shared" si="49"/>
        <v>-0.0016897413635668102</v>
      </c>
      <c r="Z397" s="15">
        <f t="shared" si="42"/>
        <v>-5.32240201189223</v>
      </c>
    </row>
    <row r="398" spans="18:26" ht="12">
      <c r="R398" s="13">
        <v>2662.2475550472595</v>
      </c>
      <c r="S398" s="13">
        <f t="shared" si="43"/>
        <v>0.3793060027652544</v>
      </c>
      <c r="T398" s="13">
        <f t="shared" si="44"/>
        <v>0.14215634060287818</v>
      </c>
      <c r="U398" s="14">
        <f t="shared" si="45"/>
        <v>-5.210706203412343</v>
      </c>
      <c r="V398" s="14">
        <f t="shared" si="46"/>
        <v>0.002252203073442871</v>
      </c>
      <c r="W398" s="14">
        <f t="shared" si="47"/>
        <v>-0.41572696197612613</v>
      </c>
      <c r="X398" s="14">
        <f t="shared" si="48"/>
        <v>-0.0021033157647423195</v>
      </c>
      <c r="Y398" s="14">
        <f t="shared" si="49"/>
        <v>-0.001621189108519161</v>
      </c>
      <c r="Z398" s="15">
        <f t="shared" si="42"/>
        <v>-5.627905467188288</v>
      </c>
    </row>
    <row r="399" spans="18:26" ht="12">
      <c r="R399" s="13">
        <v>2715.492506148205</v>
      </c>
      <c r="S399" s="13">
        <f t="shared" si="43"/>
        <v>0.3868921228205595</v>
      </c>
      <c r="T399" s="13">
        <f t="shared" si="44"/>
        <v>0.14782765988857302</v>
      </c>
      <c r="U399" s="14">
        <f t="shared" si="45"/>
        <v>-5.50707348605998</v>
      </c>
      <c r="V399" s="14">
        <f t="shared" si="46"/>
        <v>0.0021629072374516056</v>
      </c>
      <c r="W399" s="14">
        <f t="shared" si="47"/>
        <v>-0.4316419468725101</v>
      </c>
      <c r="X399" s="14">
        <f t="shared" si="48"/>
        <v>-0.002019820767351632</v>
      </c>
      <c r="Y399" s="14">
        <f t="shared" si="49"/>
        <v>-0.0015554101828563205</v>
      </c>
      <c r="Z399" s="15">
        <f t="shared" si="42"/>
        <v>-5.940127756645246</v>
      </c>
    </row>
    <row r="400" spans="18:26" ht="12">
      <c r="R400" s="13">
        <v>2769.802356271169</v>
      </c>
      <c r="S400" s="13">
        <f t="shared" si="43"/>
        <v>0.3946299652769707</v>
      </c>
      <c r="T400" s="13">
        <f t="shared" si="44"/>
        <v>0.15372221287908017</v>
      </c>
      <c r="U400" s="14">
        <f t="shared" si="45"/>
        <v>-5.80928271381552</v>
      </c>
      <c r="V400" s="14">
        <f t="shared" si="46"/>
        <v>0.002077056664735011</v>
      </c>
      <c r="W400" s="14">
        <f t="shared" si="47"/>
        <v>-0.4481032495906203</v>
      </c>
      <c r="X400" s="14">
        <f t="shared" si="48"/>
        <v>-0.0019395552381986647</v>
      </c>
      <c r="Y400" s="14">
        <f t="shared" si="49"/>
        <v>-0.0014922882758057199</v>
      </c>
      <c r="Z400" s="15">
        <f t="shared" si="42"/>
        <v>-6.258740750255409</v>
      </c>
    </row>
    <row r="401" spans="18:26" ht="12">
      <c r="R401" s="13">
        <v>2825.1984033965928</v>
      </c>
      <c r="S401" s="13">
        <f t="shared" si="43"/>
        <v>0.4025225645825101</v>
      </c>
      <c r="T401" s="13">
        <f t="shared" si="44"/>
        <v>0.15984853676062516</v>
      </c>
      <c r="U401" s="14">
        <f t="shared" si="45"/>
        <v>-6.116999256307633</v>
      </c>
      <c r="V401" s="14">
        <f t="shared" si="46"/>
        <v>0.001994519339994838</v>
      </c>
      <c r="W401" s="14">
        <f t="shared" si="47"/>
        <v>-0.465121607487994</v>
      </c>
      <c r="X401" s="14">
        <f t="shared" si="48"/>
        <v>-0.0018623948156211156</v>
      </c>
      <c r="Y401" s="14">
        <f t="shared" si="49"/>
        <v>-0.001431712273202379</v>
      </c>
      <c r="Z401" s="15">
        <f t="shared" si="42"/>
        <v>-6.583420451544455</v>
      </c>
    </row>
    <row r="402" spans="18:26" ht="12">
      <c r="R402" s="13">
        <v>2881.7023714645247</v>
      </c>
      <c r="S402" s="13">
        <f t="shared" si="43"/>
        <v>0.41057301587416034</v>
      </c>
      <c r="T402" s="13">
        <f t="shared" si="44"/>
        <v>0.1662154744208762</v>
      </c>
      <c r="U402" s="14">
        <f t="shared" si="45"/>
        <v>-6.42989597977547</v>
      </c>
      <c r="V402" s="14">
        <f t="shared" si="46"/>
        <v>0.001915168242581089</v>
      </c>
      <c r="W402" s="14">
        <f t="shared" si="47"/>
        <v>-0.4827067752961671</v>
      </c>
      <c r="X402" s="14">
        <f t="shared" si="48"/>
        <v>-0.0017882198905461166</v>
      </c>
      <c r="Y402" s="14">
        <f t="shared" si="49"/>
        <v>-0.001373576001515886</v>
      </c>
      <c r="Z402" s="15">
        <f t="shared" si="42"/>
        <v>-6.913849382721118</v>
      </c>
    </row>
    <row r="403" spans="18:26" ht="12">
      <c r="R403" s="13">
        <v>2939.3364188938153</v>
      </c>
      <c r="S403" s="13">
        <f t="shared" si="43"/>
        <v>0.4187844761916436</v>
      </c>
      <c r="T403" s="13">
        <f t="shared" si="44"/>
        <v>0.17283218362892142</v>
      </c>
      <c r="U403" s="14">
        <f t="shared" si="45"/>
        <v>-6.747655445425153</v>
      </c>
      <c r="V403" s="14">
        <f t="shared" si="46"/>
        <v>0.001838881162742112</v>
      </c>
      <c r="W403" s="14">
        <f t="shared" si="47"/>
        <v>-0.5008672980225746</v>
      </c>
      <c r="X403" s="14">
        <f t="shared" si="48"/>
        <v>-0.0017169154279024212</v>
      </c>
      <c r="Y403" s="14">
        <f t="shared" si="49"/>
        <v>-0.0013177779862658667</v>
      </c>
      <c r="Z403" s="15">
        <f t="shared" si="42"/>
        <v>-7.249718555699154</v>
      </c>
    </row>
    <row r="404" spans="18:26" ht="12">
      <c r="R404" s="13">
        <v>2998.123147271692</v>
      </c>
      <c r="S404" s="13">
        <f t="shared" si="43"/>
        <v>0.42716016571547644</v>
      </c>
      <c r="T404" s="13">
        <f t="shared" si="44"/>
        <v>0.17970814633242282</v>
      </c>
      <c r="U404" s="14">
        <f t="shared" si="45"/>
        <v>-7.069971732616587</v>
      </c>
      <c r="V404" s="14">
        <f t="shared" si="46"/>
        <v>0.0017655405242003042</v>
      </c>
      <c r="W404" s="14">
        <f t="shared" si="47"/>
        <v>-0.5196102487033518</v>
      </c>
      <c r="X404" s="14">
        <f t="shared" si="48"/>
        <v>-0.0016483707945145198</v>
      </c>
      <c r="Y404" s="14">
        <f t="shared" si="49"/>
        <v>-0.0012642212238063166</v>
      </c>
      <c r="Z404" s="15">
        <f t="shared" si="42"/>
        <v>-7.590729032814059</v>
      </c>
    </row>
    <row r="405" spans="18:26" ht="12">
      <c r="R405" s="13">
        <v>3058.0856102171256</v>
      </c>
      <c r="S405" s="13">
        <f t="shared" si="43"/>
        <v>0.43570336902978596</v>
      </c>
      <c r="T405" s="13">
        <f t="shared" si="44"/>
        <v>0.18685317805672502</v>
      </c>
      <c r="U405" s="14">
        <f t="shared" si="45"/>
        <v>-7.3965519043161905</v>
      </c>
      <c r="V405" s="14">
        <f t="shared" si="46"/>
        <v>0.0016950332129095358</v>
      </c>
      <c r="W405" s="14">
        <f t="shared" si="47"/>
        <v>-0.5389409258768421</v>
      </c>
      <c r="X405" s="14">
        <f t="shared" si="48"/>
        <v>-0.001582479593251307</v>
      </c>
      <c r="Y405" s="14">
        <f t="shared" si="49"/>
        <v>-0.0012128129657185127</v>
      </c>
      <c r="Z405" s="15">
        <f t="shared" si="42"/>
        <v>-7.936593089539093</v>
      </c>
    </row>
    <row r="406" spans="18:26" ht="12">
      <c r="R406" s="13">
        <v>3119.247322421468</v>
      </c>
      <c r="S406" s="13">
        <f t="shared" si="43"/>
        <v>0.4444174364103817</v>
      </c>
      <c r="T406" s="13">
        <f t="shared" si="44"/>
        <v>0.19427743738855144</v>
      </c>
      <c r="U406" s="14">
        <f t="shared" si="45"/>
        <v>-7.727117139103811</v>
      </c>
      <c r="V406" s="14">
        <f t="shared" si="46"/>
        <v>0.0016272504118592934</v>
      </c>
      <c r="W406" s="14">
        <f t="shared" si="47"/>
        <v>-0.5588625049096994</v>
      </c>
      <c r="X406" s="14">
        <f t="shared" si="48"/>
        <v>-0.0015191395032942978</v>
      </c>
      <c r="Y406" s="14">
        <f t="shared" si="49"/>
        <v>-0.0011634645149616318</v>
      </c>
      <c r="Z406" s="15">
        <f t="shared" si="42"/>
        <v>-8.287034997619907</v>
      </c>
    </row>
    <row r="407" spans="18:26" ht="12">
      <c r="R407" s="13">
        <v>3181.6322688698974</v>
      </c>
      <c r="S407" s="13">
        <f t="shared" si="43"/>
        <v>0.4533057851385893</v>
      </c>
      <c r="T407" s="13">
        <f t="shared" si="44"/>
        <v>0.20199143552458654</v>
      </c>
      <c r="U407" s="14">
        <f t="shared" si="45"/>
        <v>-8.061403558756066</v>
      </c>
      <c r="V407" s="14">
        <f t="shared" si="46"/>
        <v>0.0015620874416075736</v>
      </c>
      <c r="W407" s="14">
        <f t="shared" si="47"/>
        <v>-0.5793756364686242</v>
      </c>
      <c r="X407" s="14">
        <f t="shared" si="48"/>
        <v>-0.0014582521261736758</v>
      </c>
      <c r="Y407" s="14">
        <f t="shared" si="49"/>
        <v>-0.001116091033065203</v>
      </c>
      <c r="Z407" s="15">
        <f t="shared" si="42"/>
        <v>-8.641791450942321</v>
      </c>
    </row>
    <row r="408" spans="18:26" ht="12">
      <c r="R408" s="13">
        <v>3245.2649142472956</v>
      </c>
      <c r="S408" s="13">
        <f t="shared" si="43"/>
        <v>0.46237190084136115</v>
      </c>
      <c r="T408" s="13">
        <f t="shared" si="44"/>
        <v>0.21000604586268698</v>
      </c>
      <c r="U408" s="14">
        <f t="shared" si="45"/>
        <v>-8.399162783280477</v>
      </c>
      <c r="V408" s="14">
        <f t="shared" si="46"/>
        <v>0.0014994436065052241</v>
      </c>
      <c r="W408" s="14">
        <f t="shared" si="47"/>
        <v>-0.6004779844791694</v>
      </c>
      <c r="X408" s="14">
        <f t="shared" si="48"/>
        <v>-0.0013997228375117743</v>
      </c>
      <c r="Y408" s="14">
        <f t="shared" si="49"/>
        <v>-0.0010706113576617327</v>
      </c>
      <c r="Z408" s="15">
        <f t="shared" si="42"/>
        <v>-9.000611658348316</v>
      </c>
    </row>
    <row r="409" spans="18:26" ht="12">
      <c r="R409" s="13">
        <v>3310.1702125322417</v>
      </c>
      <c r="S409" s="13">
        <f t="shared" si="43"/>
        <v>0.47161933885818846</v>
      </c>
      <c r="T409" s="13">
        <f t="shared" si="44"/>
        <v>0.21833251361068443</v>
      </c>
      <c r="U409" s="14">
        <f t="shared" si="45"/>
        <v>-8.740162246526623</v>
      </c>
      <c r="V409" s="14">
        <f t="shared" si="46"/>
        <v>0.0014392220463506078</v>
      </c>
      <c r="W409" s="14">
        <f t="shared" si="47"/>
        <v>-0.622163694837341</v>
      </c>
      <c r="X409" s="14">
        <f t="shared" si="48"/>
        <v>-0.0013434606442004338</v>
      </c>
      <c r="Y409" s="14">
        <f t="shared" si="49"/>
        <v>-0.0010269478297644241</v>
      </c>
      <c r="Z409" s="15">
        <f t="shared" si="42"/>
        <v>-9.363257127791577</v>
      </c>
    </row>
    <row r="410" spans="18:26" ht="12">
      <c r="R410" s="13">
        <v>3376.3736167828865</v>
      </c>
      <c r="S410" s="13">
        <f t="shared" si="43"/>
        <v>0.4810517256353522</v>
      </c>
      <c r="T410" s="13">
        <f t="shared" si="44"/>
        <v>0.22698246538471595</v>
      </c>
      <c r="U410" s="14">
        <f t="shared" si="45"/>
        <v>-9.084185305449875</v>
      </c>
      <c r="V410" s="14">
        <f t="shared" si="46"/>
        <v>0.001381329593332481</v>
      </c>
      <c r="W410" s="14">
        <f t="shared" si="47"/>
        <v>-0.6444227849282478</v>
      </c>
      <c r="X410" s="14">
        <f t="shared" si="48"/>
        <v>-0.0012893780468612448</v>
      </c>
      <c r="Y410" s="14">
        <f t="shared" si="49"/>
        <v>-0.0009850261301007635</v>
      </c>
      <c r="Z410" s="15">
        <f t="shared" si="42"/>
        <v>-9.729501164961752</v>
      </c>
    </row>
    <row r="411" spans="18:26" ht="12">
      <c r="R411" s="13">
        <v>3443.9010891185444</v>
      </c>
      <c r="S411" s="13">
        <f t="shared" si="43"/>
        <v>0.4906727601480592</v>
      </c>
      <c r="T411" s="13">
        <f t="shared" si="44"/>
        <v>0.23596791876572432</v>
      </c>
      <c r="U411" s="14">
        <f t="shared" si="45"/>
        <v>-9.431031175041626</v>
      </c>
      <c r="V411" s="14">
        <f t="shared" si="46"/>
        <v>0.0013256766340745685</v>
      </c>
      <c r="W411" s="14">
        <f t="shared" si="47"/>
        <v>-0.6672404426481711</v>
      </c>
      <c r="X411" s="14">
        <f t="shared" si="48"/>
        <v>-0.0012373909073666312</v>
      </c>
      <c r="Y411" s="14">
        <f t="shared" si="49"/>
        <v>-0.0009447751240649893</v>
      </c>
      <c r="Z411" s="15">
        <f t="shared" si="42"/>
        <v>-10.099128107087154</v>
      </c>
    </row>
    <row r="412" spans="18:26" ht="12">
      <c r="R412" s="13">
        <v>3512.7791109009154</v>
      </c>
      <c r="S412" s="13">
        <f t="shared" si="43"/>
        <v>0.5004862153510204</v>
      </c>
      <c r="T412" s="13">
        <f t="shared" si="44"/>
        <v>0.24530129177919077</v>
      </c>
      <c r="U412" s="14">
        <f t="shared" si="45"/>
        <v>-9.780514719135423</v>
      </c>
      <c r="V412" s="14">
        <f t="shared" si="46"/>
        <v>0.001272176976673478</v>
      </c>
      <c r="W412" s="14">
        <f t="shared" si="47"/>
        <v>-0.690596222113792</v>
      </c>
      <c r="X412" s="14">
        <f t="shared" si="48"/>
        <v>-0.0011874183212974287</v>
      </c>
      <c r="Y412" s="14">
        <f t="shared" si="49"/>
        <v>-0.0009061267147263408</v>
      </c>
      <c r="Z412" s="15">
        <f t="shared" si="42"/>
        <v>-10.471932309308565</v>
      </c>
    </row>
    <row r="413" spans="18:26" ht="12">
      <c r="R413" s="13">
        <v>3583.034693118934</v>
      </c>
      <c r="S413" s="13">
        <f t="shared" si="43"/>
        <v>0.5104959396580409</v>
      </c>
      <c r="T413" s="13">
        <f t="shared" si="44"/>
        <v>0.2549954122592829</v>
      </c>
      <c r="U413" s="14">
        <f t="shared" si="45"/>
        <v>-10.132466124989662</v>
      </c>
      <c r="V413" s="14">
        <f t="shared" si="46"/>
        <v>0.001220747722468829</v>
      </c>
      <c r="W413" s="14">
        <f t="shared" si="47"/>
        <v>-0.7144631215695738</v>
      </c>
      <c r="X413" s="14">
        <f t="shared" si="48"/>
        <v>-0.0011393824951149156</v>
      </c>
      <c r="Y413" s="14">
        <f t="shared" si="49"/>
        <v>-0.0008690157033637291</v>
      </c>
      <c r="Z413" s="15">
        <f t="shared" si="42"/>
        <v>-10.847716897035246</v>
      </c>
    </row>
    <row r="414" spans="18:26" ht="12">
      <c r="R414" s="13">
        <v>3654.6953869813124</v>
      </c>
      <c r="S414" s="13">
        <f t="shared" si="43"/>
        <v>0.5207058584512017</v>
      </c>
      <c r="T414" s="13">
        <f t="shared" si="44"/>
        <v>0.2650635270543861</v>
      </c>
      <c r="U414" s="14">
        <f t="shared" si="45"/>
        <v>-10.48673048693474</v>
      </c>
      <c r="V414" s="14">
        <f t="shared" si="46"/>
        <v>0.0011713091424780941</v>
      </c>
      <c r="W414" s="14">
        <f t="shared" si="47"/>
        <v>-0.738806527172247</v>
      </c>
      <c r="X414" s="14">
        <f t="shared" si="48"/>
        <v>-0.0010932086279087372</v>
      </c>
      <c r="Y414" s="14">
        <f t="shared" si="49"/>
        <v>-0.0008333796572053132</v>
      </c>
      <c r="Z414" s="15">
        <f t="shared" si="42"/>
        <v>-11.226292293249623</v>
      </c>
    </row>
    <row r="415" spans="18:26" ht="12">
      <c r="R415" s="13">
        <v>3727.789294720939</v>
      </c>
      <c r="S415" s="13">
        <f t="shared" si="43"/>
        <v>0.5311199756202257</v>
      </c>
      <c r="T415" s="13">
        <f t="shared" si="44"/>
        <v>0.27551931102642696</v>
      </c>
      <c r="U415" s="14">
        <f t="shared" si="45"/>
        <v>-10.843167321620172</v>
      </c>
      <c r="V415" s="14">
        <f t="shared" si="46"/>
        <v>0.0011237845583238482</v>
      </c>
      <c r="W415" s="14">
        <f t="shared" si="47"/>
        <v>-0.7635830043489129</v>
      </c>
      <c r="X415" s="14">
        <f t="shared" si="48"/>
        <v>-0.001048824797559078</v>
      </c>
      <c r="Y415" s="14">
        <f t="shared" si="49"/>
        <v>-0.0007991587838009906</v>
      </c>
      <c r="Z415" s="15">
        <f t="shared" si="42"/>
        <v>-11.60747452499212</v>
      </c>
    </row>
    <row r="416" spans="18:26" ht="12">
      <c r="R416" s="13">
        <v>3802.345080615358</v>
      </c>
      <c r="S416" s="13">
        <f t="shared" si="43"/>
        <v>0.5417423751326302</v>
      </c>
      <c r="T416" s="13">
        <f t="shared" si="44"/>
        <v>0.2863768757914575</v>
      </c>
      <c r="U416" s="14">
        <f t="shared" si="45"/>
        <v>-11.201650034632989</v>
      </c>
      <c r="V416" s="14">
        <f t="shared" si="46"/>
        <v>0.0010781002274580231</v>
      </c>
      <c r="W416" s="14">
        <f t="shared" si="47"/>
        <v>-0.788738916314236</v>
      </c>
      <c r="X416" s="14">
        <f t="shared" si="48"/>
        <v>-0.0010061618511318926</v>
      </c>
      <c r="Y416" s="14">
        <f t="shared" si="49"/>
        <v>-0.0007662958117951035</v>
      </c>
      <c r="Z416" s="15">
        <f t="shared" si="42"/>
        <v>-11.991083308382693</v>
      </c>
    </row>
    <row r="417" spans="18:26" ht="12">
      <c r="R417" s="13">
        <v>3878.391982227665</v>
      </c>
      <c r="S417" s="13">
        <f t="shared" si="43"/>
        <v>0.5525772226352829</v>
      </c>
      <c r="T417" s="13">
        <f t="shared" si="44"/>
        <v>0.2976507781436333</v>
      </c>
      <c r="U417" s="14">
        <f t="shared" si="45"/>
        <v>-11.562065355578998</v>
      </c>
      <c r="V417" s="14">
        <f t="shared" si="46"/>
        <v>0.0010341852325890244</v>
      </c>
      <c r="W417" s="14">
        <f t="shared" si="47"/>
        <v>-0.8142088471320674</v>
      </c>
      <c r="X417" s="14">
        <f t="shared" si="48"/>
        <v>-0.0009651532993899536</v>
      </c>
      <c r="Y417" s="14">
        <f t="shared" si="49"/>
        <v>-0.0007347358776090829</v>
      </c>
      <c r="Z417" s="15">
        <f t="shared" si="42"/>
        <v>-12.376939906655474</v>
      </c>
    </row>
    <row r="418" spans="18:26" ht="12">
      <c r="R418" s="13">
        <v>3955.959821872218</v>
      </c>
      <c r="S418" s="13">
        <f t="shared" si="43"/>
        <v>0.5636287670879885</v>
      </c>
      <c r="T418" s="13">
        <f t="shared" si="44"/>
        <v>0.3093560280989464</v>
      </c>
      <c r="U418" s="14">
        <f t="shared" si="45"/>
        <v>-11.92431275619057</v>
      </c>
      <c r="V418" s="14">
        <f t="shared" si="46"/>
        <v>0.0009919713751624926</v>
      </c>
      <c r="W418" s="14">
        <f t="shared" si="47"/>
        <v>-0.8399138044819927</v>
      </c>
      <c r="X418" s="14">
        <f t="shared" si="48"/>
        <v>-0.0009257352152509668</v>
      </c>
      <c r="Y418" s="14">
        <f t="shared" si="49"/>
        <v>-0.0007044264177906712</v>
      </c>
      <c r="Z418" s="15">
        <f t="shared" si="42"/>
        <v>-12.764864750930442</v>
      </c>
    </row>
    <row r="419" spans="18:26" ht="12">
      <c r="R419" s="13">
        <v>4035.0790183096624</v>
      </c>
      <c r="S419" s="13">
        <f t="shared" si="43"/>
        <v>0.5749013424297483</v>
      </c>
      <c r="T419" s="13">
        <f t="shared" si="44"/>
        <v>0.3215080964888554</v>
      </c>
      <c r="U419" s="14">
        <f t="shared" si="45"/>
        <v>-12.288303863693674</v>
      </c>
      <c r="V419" s="14">
        <f t="shared" si="46"/>
        <v>0.0009513930727216291</v>
      </c>
      <c r="W419" s="14">
        <f t="shared" si="47"/>
        <v>-0.8657591751406892</v>
      </c>
      <c r="X419" s="14">
        <f t="shared" si="48"/>
        <v>-0.000887846136052417</v>
      </c>
      <c r="Y419" s="14">
        <f t="shared" si="49"/>
        <v>-0.0006753170666353725</v>
      </c>
      <c r="Z419" s="15">
        <f t="shared" si="42"/>
        <v>-13.154674808964328</v>
      </c>
    </row>
    <row r="420" spans="18:26" ht="12">
      <c r="R420" s="13">
        <v>4115.780598675856</v>
      </c>
      <c r="S420" s="13">
        <f t="shared" si="43"/>
        <v>0.5863993692783434</v>
      </c>
      <c r="T420" s="13">
        <f t="shared" si="44"/>
        <v>0.3341229220272359</v>
      </c>
      <c r="U420" s="14">
        <f t="shared" si="45"/>
        <v>-12.653961879557503</v>
      </c>
      <c r="V420" s="14">
        <f t="shared" si="46"/>
        <v>0.0009123872600831362</v>
      </c>
      <c r="W420" s="14">
        <f t="shared" si="47"/>
        <v>-0.8916324042558199</v>
      </c>
      <c r="X420" s="14">
        <f t="shared" si="48"/>
        <v>-0.0008514269694952503</v>
      </c>
      <c r="Y420" s="14">
        <f t="shared" si="49"/>
        <v>-0.0006473595588598613</v>
      </c>
      <c r="Z420" s="15">
        <f t="shared" si="42"/>
        <v>-13.546180683081595</v>
      </c>
    </row>
    <row r="421" spans="18:26" ht="12">
      <c r="R421" s="13">
        <v>4198.096210649373</v>
      </c>
      <c r="S421" s="13">
        <f t="shared" si="43"/>
        <v>0.59812735666391</v>
      </c>
      <c r="T421" s="13">
        <f t="shared" si="44"/>
        <v>0.34721691776685143</v>
      </c>
      <c r="U421" s="14">
        <f t="shared" si="45"/>
        <v>-13.021221011874038</v>
      </c>
      <c r="V421" s="14">
        <f t="shared" si="46"/>
        <v>0.0008748932941049503</v>
      </c>
      <c r="W421" s="14">
        <f t="shared" si="47"/>
        <v>-0.9174003679825202</v>
      </c>
      <c r="X421" s="14">
        <f t="shared" si="48"/>
        <v>-0.0008164209031154002</v>
      </c>
      <c r="Y421" s="14">
        <f t="shared" si="49"/>
        <v>-0.0006205076369738549</v>
      </c>
      <c r="Z421" s="15">
        <f t="shared" si="42"/>
        <v>-13.939183415102542</v>
      </c>
    </row>
    <row r="422" spans="18:26" ht="12">
      <c r="R422" s="13">
        <v>4282.05813486236</v>
      </c>
      <c r="S422" s="13">
        <f t="shared" si="43"/>
        <v>0.6100899037971883</v>
      </c>
      <c r="T422" s="13">
        <f t="shared" si="44"/>
        <v>0.36080697685376256</v>
      </c>
      <c r="U422" s="14">
        <f t="shared" si="45"/>
        <v>-13.390025927971518</v>
      </c>
      <c r="V422" s="14">
        <f t="shared" si="46"/>
        <v>0.0008388528620209001</v>
      </c>
      <c r="W422" s="14">
        <f t="shared" si="47"/>
        <v>-0.9429064082537497</v>
      </c>
      <c r="X422" s="14">
        <f t="shared" si="48"/>
        <v>-0.0007827733171961171</v>
      </c>
      <c r="Y422" s="14">
        <f t="shared" si="49"/>
        <v>-0.0005947169631461691</v>
      </c>
      <c r="Z422" s="15">
        <f t="shared" si="42"/>
        <v>-14.333470973643589</v>
      </c>
    </row>
    <row r="423" spans="18:26" ht="12">
      <c r="R423" s="13">
        <v>4367.699297559608</v>
      </c>
      <c r="S423" s="13">
        <f t="shared" si="43"/>
        <v>0.6222917018731321</v>
      </c>
      <c r="T423" s="13">
        <f t="shared" si="44"/>
        <v>0.3749104774797206</v>
      </c>
      <c r="U423" s="14">
        <f t="shared" si="45"/>
        <v>-13.76033123244655</v>
      </c>
      <c r="V423" s="14">
        <f t="shared" si="46"/>
        <v>0.000804209893122021</v>
      </c>
      <c r="W423" s="14">
        <f t="shared" si="47"/>
        <v>-0.9679669987522925</v>
      </c>
      <c r="X423" s="14">
        <f t="shared" si="48"/>
        <v>-0.0007504317009292549</v>
      </c>
      <c r="Y423" s="14">
        <f t="shared" si="49"/>
        <v>-0.0005699450353180424</v>
      </c>
      <c r="Z423" s="15">
        <f t="shared" si="42"/>
        <v>-14.728814398041967</v>
      </c>
    </row>
    <row r="424" spans="18:26" ht="12">
      <c r="R424" s="13">
        <v>4455.0532835108</v>
      </c>
      <c r="S424" s="13">
        <f t="shared" si="43"/>
        <v>0.6347375359105948</v>
      </c>
      <c r="T424" s="13">
        <f t="shared" si="44"/>
        <v>0.38954528692362156</v>
      </c>
      <c r="U424" s="14">
        <f t="shared" si="45"/>
        <v>-14.132100974592761</v>
      </c>
      <c r="V424" s="14">
        <f t="shared" si="46"/>
        <v>0.0007709104737685379</v>
      </c>
      <c r="W424" s="14">
        <f t="shared" si="47"/>
        <v>-0.9923680130570189</v>
      </c>
      <c r="X424" s="14">
        <f t="shared" si="48"/>
        <v>-0.0007193455717793285</v>
      </c>
      <c r="Y424" s="14">
        <f t="shared" si="49"/>
        <v>-0.0005461511072848424</v>
      </c>
      <c r="Z424" s="15">
        <f t="shared" si="42"/>
        <v>-15.124963573855077</v>
      </c>
    </row>
    <row r="425" spans="18:26" ht="12">
      <c r="R425" s="13">
        <v>4544.154349181016</v>
      </c>
      <c r="S425" s="13">
        <f t="shared" si="43"/>
        <v>0.6474322866288067</v>
      </c>
      <c r="T425" s="13">
        <f t="shared" si="44"/>
        <v>0.4047297645634441</v>
      </c>
      <c r="U425" s="14">
        <f t="shared" si="45"/>
        <v>-14.505308188190487</v>
      </c>
      <c r="V425" s="14">
        <f t="shared" si="46"/>
        <v>0.0007389027655282376</v>
      </c>
      <c r="W425" s="14">
        <f t="shared" si="47"/>
        <v>-1.0158605701167436</v>
      </c>
      <c r="X425" s="14">
        <f t="shared" si="48"/>
        <v>-0.0006894663978869175</v>
      </c>
      <c r="Y425" s="14">
        <f t="shared" si="49"/>
        <v>-0.0005232961126013791</v>
      </c>
      <c r="Z425" s="15">
        <f t="shared" si="42"/>
        <v>-15.52164261805219</v>
      </c>
    </row>
    <row r="426" spans="18:26" ht="12">
      <c r="R426" s="13">
        <v>4635.037436164636</v>
      </c>
      <c r="S426" s="13">
        <f t="shared" si="43"/>
        <v>0.6603809323613828</v>
      </c>
      <c r="T426" s="13">
        <f t="shared" si="44"/>
        <v>0.4204827637297722</v>
      </c>
      <c r="U426" s="14">
        <f t="shared" si="45"/>
        <v>-14.879934465785517</v>
      </c>
      <c r="V426" s="14">
        <f t="shared" si="46"/>
        <v>0.0007081369263586268</v>
      </c>
      <c r="W426" s="14">
        <f t="shared" si="47"/>
        <v>-1.0381564395129677</v>
      </c>
      <c r="X426" s="14">
        <f t="shared" si="48"/>
        <v>-0.0006607475234048366</v>
      </c>
      <c r="Y426" s="14">
        <f t="shared" si="49"/>
        <v>-0.0005013425920523673</v>
      </c>
      <c r="Z426" s="15">
        <f t="shared" si="42"/>
        <v>-15.918544858487582</v>
      </c>
    </row>
    <row r="427" spans="18:26" ht="12">
      <c r="R427" s="13">
        <v>4727.7381848879295</v>
      </c>
      <c r="S427" s="13">
        <f t="shared" si="43"/>
        <v>0.6735885510086105</v>
      </c>
      <c r="T427" s="13">
        <f t="shared" si="44"/>
        <v>0.43682363226094273</v>
      </c>
      <c r="U427" s="14">
        <f t="shared" si="45"/>
        <v>-15.255969568906547</v>
      </c>
      <c r="V427" s="14">
        <f t="shared" si="46"/>
        <v>0.0006785650347778116</v>
      </c>
      <c r="W427" s="14">
        <f t="shared" si="47"/>
        <v>-1.0589230004661268</v>
      </c>
      <c r="X427" s="14">
        <f t="shared" si="48"/>
        <v>-0.0006331440966871327</v>
      </c>
      <c r="Y427" s="14">
        <f t="shared" si="49"/>
        <v>-0.00048025462454681644</v>
      </c>
      <c r="Z427" s="15">
        <f t="shared" si="42"/>
        <v>-16.31532740305913</v>
      </c>
    </row>
    <row r="428" spans="18:26" ht="12">
      <c r="R428" s="13">
        <v>4822.2929485856885</v>
      </c>
      <c r="S428" s="13">
        <f t="shared" si="43"/>
        <v>0.6870603220287828</v>
      </c>
      <c r="T428" s="13">
        <f t="shared" si="44"/>
        <v>0.45377221160802766</v>
      </c>
      <c r="U428" s="14">
        <f t="shared" si="45"/>
        <v>-15.633411075130583</v>
      </c>
      <c r="V428" s="14">
        <f t="shared" si="46"/>
        <v>0.0006501410168189281</v>
      </c>
      <c r="W428" s="14">
        <f t="shared" si="47"/>
        <v>-1.0777777654981886</v>
      </c>
      <c r="X428" s="14">
        <f t="shared" si="48"/>
        <v>-0.0006066130011959103</v>
      </c>
      <c r="Y428" s="14">
        <f t="shared" si="49"/>
        <v>-0.00045999776120275726</v>
      </c>
      <c r="Z428" s="15">
        <f t="shared" si="42"/>
        <v>-16.711605310374352</v>
      </c>
    </row>
    <row r="429" spans="18:26" ht="12">
      <c r="R429" s="13">
        <v>4918.738807557403</v>
      </c>
      <c r="S429" s="13">
        <f t="shared" si="43"/>
        <v>0.7008015284693585</v>
      </c>
      <c r="T429" s="13">
        <f t="shared" si="44"/>
        <v>0.4713488343252368</v>
      </c>
      <c r="U429" s="14">
        <f t="shared" si="45"/>
        <v>-16.012264062488555</v>
      </c>
      <c r="V429" s="14">
        <f t="shared" si="46"/>
        <v>0.0006228205757699001</v>
      </c>
      <c r="W429" s="14">
        <f t="shared" si="47"/>
        <v>-1.0942825035798114</v>
      </c>
      <c r="X429" s="14">
        <f t="shared" si="48"/>
        <v>-0.0005811127890327228</v>
      </c>
      <c r="Y429" s="14">
        <f t="shared" si="49"/>
        <v>-0.00044053896252727043</v>
      </c>
      <c r="Z429" s="15">
        <f t="shared" si="42"/>
        <v>-17.106945397244154</v>
      </c>
    </row>
    <row r="430" spans="18:26" ht="12">
      <c r="R430" s="13">
        <v>5017.113583708551</v>
      </c>
      <c r="S430" s="13">
        <f t="shared" si="43"/>
        <v>0.7148175590387458</v>
      </c>
      <c r="T430" s="13">
        <f t="shared" si="44"/>
        <v>0.48957431976784216</v>
      </c>
      <c r="U430" s="14">
        <f t="shared" si="45"/>
        <v>-16.392540831390757</v>
      </c>
      <c r="V430" s="14">
        <f t="shared" si="46"/>
        <v>0.000596561124520889</v>
      </c>
      <c r="W430" s="14">
        <f t="shared" si="47"/>
        <v>-1.1079370301205143</v>
      </c>
      <c r="X430" s="14">
        <f t="shared" si="48"/>
        <v>-0.0005566036170128186</v>
      </c>
      <c r="Y430" s="14">
        <f t="shared" si="49"/>
        <v>-0.00042184653845822595</v>
      </c>
      <c r="Z430" s="15">
        <f t="shared" si="42"/>
        <v>-17.500859750542222</v>
      </c>
    </row>
    <row r="431" spans="18:26" ht="12">
      <c r="R431" s="13">
        <v>5117.455855382722</v>
      </c>
      <c r="S431" s="13">
        <f t="shared" si="43"/>
        <v>0.7291139102195207</v>
      </c>
      <c r="T431" s="13">
        <f t="shared" si="44"/>
        <v>0.5084699678053762</v>
      </c>
      <c r="U431" s="14">
        <f t="shared" si="45"/>
        <v>-16.774260664031537</v>
      </c>
      <c r="V431" s="14">
        <f t="shared" si="46"/>
        <v>0.0005713217204714738</v>
      </c>
      <c r="W431" s="14">
        <f t="shared" si="47"/>
        <v>-1.118172774022642</v>
      </c>
      <c r="X431" s="14">
        <f t="shared" si="48"/>
        <v>-0.000533047185179214</v>
      </c>
      <c r="Y431" s="14">
        <f t="shared" si="49"/>
        <v>-0.00040389009118513286</v>
      </c>
      <c r="Z431" s="15">
        <f t="shared" si="42"/>
        <v>-17.892799053610073</v>
      </c>
    </row>
    <row r="432" spans="18:26" ht="12">
      <c r="R432" s="13">
        <v>5219.804972490377</v>
      </c>
      <c r="S432" s="13">
        <f t="shared" si="43"/>
        <v>0.7436961884239112</v>
      </c>
      <c r="T432" s="13">
        <f t="shared" si="44"/>
        <v>0.5280575503425812</v>
      </c>
      <c r="U432" s="14">
        <f t="shared" si="45"/>
        <v>-17.15744962109031</v>
      </c>
      <c r="V432" s="14">
        <f t="shared" si="46"/>
        <v>0.0005470630029016377</v>
      </c>
      <c r="W432" s="14">
        <f t="shared" si="47"/>
        <v>-1.1243462867925746</v>
      </c>
      <c r="X432" s="14">
        <f t="shared" si="48"/>
        <v>-0.0005104066776500105</v>
      </c>
      <c r="Y432" s="14">
        <f t="shared" si="49"/>
        <v>-0.0003866404605599172</v>
      </c>
      <c r="Z432" s="15">
        <f t="shared" si="42"/>
        <v>-18.282145892018193</v>
      </c>
    </row>
    <row r="433" spans="18:26" ht="12">
      <c r="R433" s="13">
        <v>5324.201071940184</v>
      </c>
      <c r="S433" s="13">
        <f t="shared" si="43"/>
        <v>0.7585701121923893</v>
      </c>
      <c r="T433" s="13">
        <f t="shared" si="44"/>
        <v>0.5483593004243543</v>
      </c>
      <c r="U433" s="14">
        <f t="shared" si="45"/>
        <v>-17.54214037547097</v>
      </c>
      <c r="V433" s="14">
        <f t="shared" si="46"/>
        <v>0.0005237471326831056</v>
      </c>
      <c r="W433" s="14">
        <f t="shared" si="47"/>
        <v>-1.125732926504498</v>
      </c>
      <c r="X433" s="14">
        <f t="shared" si="48"/>
        <v>-0.0004886467057501065</v>
      </c>
      <c r="Y433" s="14">
        <f t="shared" si="49"/>
        <v>-0.00037006967200969854</v>
      </c>
      <c r="Z433" s="15">
        <f t="shared" si="42"/>
        <v>-18.668208271220546</v>
      </c>
    </row>
    <row r="434" spans="18:26" ht="12">
      <c r="R434" s="13">
        <v>5430.685093378988</v>
      </c>
      <c r="S434" s="13">
        <f t="shared" si="43"/>
        <v>0.7737415144362373</v>
      </c>
      <c r="T434" s="13">
        <f t="shared" si="44"/>
        <v>0.5693978986837304</v>
      </c>
      <c r="U434" s="14">
        <f t="shared" si="45"/>
        <v>-17.92837208280531</v>
      </c>
      <c r="V434" s="14">
        <f t="shared" si="46"/>
        <v>0.0005013377343026093</v>
      </c>
      <c r="W434" s="14">
        <f t="shared" si="47"/>
        <v>-1.1215210304219292</v>
      </c>
      <c r="X434" s="14">
        <f t="shared" si="48"/>
        <v>-0.00046773325330828897</v>
      </c>
      <c r="Y434" s="14">
        <f t="shared" si="49"/>
        <v>-0.000354150886790805</v>
      </c>
      <c r="Z434" s="15">
        <f t="shared" si="42"/>
        <v>-19.050213659633037</v>
      </c>
    </row>
    <row r="435" spans="18:26" ht="12">
      <c r="R435" s="13">
        <v>5539.298795246568</v>
      </c>
      <c r="S435" s="13">
        <f t="shared" si="43"/>
        <v>0.7892163447249619</v>
      </c>
      <c r="T435" s="13">
        <f t="shared" si="44"/>
        <v>0.5911964568736995</v>
      </c>
      <c r="U435" s="14">
        <f t="shared" si="45"/>
        <v>-18.316190288478317</v>
      </c>
      <c r="V435" s="14">
        <f t="shared" si="46"/>
        <v>0.00047979984006563114</v>
      </c>
      <c r="W435" s="14">
        <f t="shared" si="47"/>
        <v>-1.1108069828753555</v>
      </c>
      <c r="X435" s="14">
        <f t="shared" si="48"/>
        <v>-0.0004476336240450962</v>
      </c>
      <c r="Y435" s="14">
        <f t="shared" si="49"/>
        <v>-0.00033885835448899115</v>
      </c>
      <c r="Z435" s="15">
        <f t="shared" si="42"/>
        <v>-19.427303963492143</v>
      </c>
    </row>
    <row r="436" spans="18:26" ht="12">
      <c r="R436" s="13">
        <v>5650.0847711515</v>
      </c>
      <c r="S436" s="13">
        <f t="shared" si="43"/>
        <v>0.8050006716194612</v>
      </c>
      <c r="T436" s="13">
        <f t="shared" si="44"/>
        <v>0.6137784982044002</v>
      </c>
      <c r="U436" s="14">
        <f t="shared" si="45"/>
        <v>-18.705646871010124</v>
      </c>
      <c r="V436" s="14">
        <f t="shared" si="46"/>
        <v>0.0004590998364246701</v>
      </c>
      <c r="W436" s="14">
        <f t="shared" si="47"/>
        <v>-1.0925916856971207</v>
      </c>
      <c r="X436" s="14">
        <f t="shared" si="48"/>
        <v>-0.00042831639100082697</v>
      </c>
      <c r="Y436" s="14">
        <f t="shared" si="49"/>
        <v>-0.0003241673676486201</v>
      </c>
      <c r="Z436" s="15">
        <f aca="true" t="shared" si="50" ref="Z436:Z499">U436+V436+W436+X436+Y436</f>
        <v>-19.798531940629466</v>
      </c>
    </row>
    <row r="437" spans="18:26" ht="12">
      <c r="R437" s="13">
        <v>5763.08646657453</v>
      </c>
      <c r="S437" s="13">
        <f aca="true" t="shared" si="51" ref="S437:S499">2*PI()*R437/44100</f>
        <v>0.8211006850518504</v>
      </c>
      <c r="T437" s="13">
        <f aca="true" t="shared" si="52" ref="T437:T499">4*(SIN(S437/2))^2</f>
        <v>0.6371679341868706</v>
      </c>
      <c r="U437" s="14">
        <f aca="true" t="shared" si="53" ref="U437:U499">10*LOG10(($G$116+$G$117+$G$118)^2+($G$116*$G$118*T437-($G$117*($G$116+$G$118)+4*$G$116*$G$118))*T437)-10*LOG10((1+$G$119+$G$120)^2+(1*$G$120*T437-($G$119*(1+$G$120)+4*1*$G$120))*T437)</f>
        <v>-19.09680002174369</v>
      </c>
      <c r="V437" s="14">
        <f aca="true" t="shared" si="54" ref="V437:V499">10*LOG10(($G$121+$G$122+$G$123)^2+($G$121*$G$123*$T437-($G$122*($G$121+$G$123)+4*$G$121*$G$123))*$T437)-10*LOG10((1+$G$124+$G$125)^2+(1*$G$125*$T437-($G$124*(1+$G$125)+4*1*$G$125))*$T437)</f>
        <v>0.00043920541234010457</v>
      </c>
      <c r="W437" s="14">
        <f aca="true" t="shared" si="55" ref="W437:W499">10*LOG10(($G$126+$G$127+$G$128)^2+($G$126*$G$128*$T437-($G$127*($G$126+$G$128)+4*$G$126*$G$128))*$T437)-10*LOG10((1+$G$129+$G$130)^2+(1*$G$130*$T437-($G$129*(1+$G$130)+4*1*$G$130))*$T437)</f>
        <v>-1.0657790398361136</v>
      </c>
      <c r="X437" s="14">
        <f aca="true" t="shared" si="56" ref="X437:X499">10*LOG10(($G$131+$G$132+$G$133)^2+($G$131*$G$133*$T437-($G$132*($G$131+$G$133)+4*$G$131*$G$133))*$T437)-10*LOG10((1+$G$134+$G$135)^2+(1*$G$135*$T437-($G$134*(1+$G$135)+4*1*$G$135))*$T437)</f>
        <v>-0.0004097513478904524</v>
      </c>
      <c r="Y437" s="14">
        <f aca="true" t="shared" si="57" ref="Y437:Y499">10*LOG10(($G$136+$G$137+$G$138)^2+($G$136*$G$138*$T437-($G$137*($G$136+$G$138)+4*$G$136*$G$138))*$T437)-10*LOG10((1+$G$139+$G$140)^2+(1*$G$140*$T437-($G$139*(1+$G$140)+4*1*$G$140))*$T437)</f>
        <v>-0.00031005421844199077</v>
      </c>
      <c r="Z437" s="15">
        <f t="shared" si="50"/>
        <v>-20.162859661733794</v>
      </c>
    </row>
    <row r="438" spans="18:26" ht="12">
      <c r="R438" s="13">
        <v>5878.348195906021</v>
      </c>
      <c r="S438" s="13">
        <f t="shared" si="51"/>
        <v>0.8375226987528874</v>
      </c>
      <c r="T438" s="13">
        <f t="shared" si="52"/>
        <v>0.6613890376631298</v>
      </c>
      <c r="U438" s="14">
        <f t="shared" si="53"/>
        <v>-19.489714260936434</v>
      </c>
      <c r="V438" s="14">
        <f t="shared" si="54"/>
        <v>0.0004200855096372358</v>
      </c>
      <c r="W438" s="14">
        <f t="shared" si="55"/>
        <v>-1.0291771370598608</v>
      </c>
      <c r="X438" s="14">
        <f t="shared" si="56"/>
        <v>-0.0003919094623499042</v>
      </c>
      <c r="Y438" s="14">
        <f t="shared" si="57"/>
        <v>-0.0002964961572442526</v>
      </c>
      <c r="Z438" s="15">
        <f t="shared" si="50"/>
        <v>-20.519159718106252</v>
      </c>
    </row>
    <row r="439" spans="18:26" ht="12">
      <c r="R439" s="13">
        <v>5995.9151598241415</v>
      </c>
      <c r="S439" s="13">
        <f t="shared" si="51"/>
        <v>0.8542731527279454</v>
      </c>
      <c r="T439" s="13">
        <f t="shared" si="52"/>
        <v>0.6864664116798455</v>
      </c>
      <c r="U439" s="14">
        <f t="shared" si="53"/>
        <v>-19.88446049053519</v>
      </c>
      <c r="V439" s="14">
        <f t="shared" si="54"/>
        <v>0.00040171027523072667</v>
      </c>
      <c r="W439" s="14">
        <f t="shared" si="55"/>
        <v>-0.9815029232300831</v>
      </c>
      <c r="X439" s="14">
        <f t="shared" si="56"/>
        <v>-0.0003747628309636042</v>
      </c>
      <c r="Y439" s="14">
        <f t="shared" si="57"/>
        <v>-0.0002834713530681654</v>
      </c>
      <c r="Z439" s="15">
        <f t="shared" si="50"/>
        <v>-20.86621993767407</v>
      </c>
    </row>
    <row r="440" spans="18:26" ht="12">
      <c r="R440" s="13">
        <v>6115.833463020625</v>
      </c>
      <c r="S440" s="13">
        <f t="shared" si="51"/>
        <v>0.8713586157825042</v>
      </c>
      <c r="T440" s="13">
        <f t="shared" si="52"/>
        <v>0.7124249538392251</v>
      </c>
      <c r="U440" s="14">
        <f t="shared" si="53"/>
        <v>-20.281116084124463</v>
      </c>
      <c r="V440" s="14">
        <f t="shared" si="54"/>
        <v>0.000384051015198672</v>
      </c>
      <c r="W440" s="14">
        <f t="shared" si="55"/>
        <v>-0.9213911078867412</v>
      </c>
      <c r="X440" s="14">
        <f t="shared" si="56"/>
        <v>-0.0003582846360501435</v>
      </c>
      <c r="Y440" s="14">
        <f t="shared" si="57"/>
        <v>-0.0002709588557294751</v>
      </c>
      <c r="Z440" s="15">
        <f t="shared" si="50"/>
        <v>-21.202752384487784</v>
      </c>
    </row>
    <row r="441" spans="18:26" ht="12">
      <c r="R441" s="13">
        <v>6238.150132281037</v>
      </c>
      <c r="S441" s="13">
        <f t="shared" si="51"/>
        <v>0.8887857880981542</v>
      </c>
      <c r="T441" s="13">
        <f t="shared" si="52"/>
        <v>0.7392898157360936</v>
      </c>
      <c r="U441" s="14">
        <f t="shared" si="53"/>
        <v>-20.679765014779548</v>
      </c>
      <c r="V441" s="14">
        <f t="shared" si="54"/>
        <v>0.0003670801506086008</v>
      </c>
      <c r="W441" s="14">
        <f t="shared" si="55"/>
        <v>-0.8474080335393426</v>
      </c>
      <c r="X441" s="14">
        <f t="shared" si="56"/>
        <v>-0.000342449104113296</v>
      </c>
      <c r="Y441" s="14">
        <f t="shared" si="57"/>
        <v>-0.0002589385597020488</v>
      </c>
      <c r="Z441" s="15">
        <f t="shared" si="50"/>
        <v>-21.527407355832096</v>
      </c>
    </row>
    <row r="442" spans="18:26" ht="12">
      <c r="R442" s="13">
        <v>6362.913134926658</v>
      </c>
      <c r="S442" s="13">
        <f t="shared" si="51"/>
        <v>0.9065615038601175</v>
      </c>
      <c r="T442" s="13">
        <f t="shared" si="52"/>
        <v>0.7670863570643469</v>
      </c>
      <c r="U442" s="14">
        <f t="shared" si="53"/>
        <v>-21.08049802182638</v>
      </c>
      <c r="V442" s="14">
        <f t="shared" si="54"/>
        <v>0.00035077117504123123</v>
      </c>
      <c r="W442" s="14">
        <f t="shared" si="55"/>
        <v>-0.7580710564018873</v>
      </c>
      <c r="X442" s="14">
        <f t="shared" si="56"/>
        <v>-0.0003272314658957498</v>
      </c>
      <c r="Y442" s="14">
        <f t="shared" si="57"/>
        <v>-0.0002473911695330955</v>
      </c>
      <c r="Z442" s="15">
        <f t="shared" si="50"/>
        <v>-21.838792929688655</v>
      </c>
    </row>
    <row r="443" spans="18:26" ht="12">
      <c r="R443" s="13">
        <v>6490.171397625191</v>
      </c>
      <c r="S443" s="13">
        <f t="shared" si="51"/>
        <v>0.9246927339373199</v>
      </c>
      <c r="T443" s="13">
        <f t="shared" si="52"/>
        <v>0.7958400939492</v>
      </c>
      <c r="U443" s="14">
        <f t="shared" si="53"/>
        <v>-21.483412817813324</v>
      </c>
      <c r="V443" s="14">
        <f t="shared" si="54"/>
        <v>0.00033509861376535</v>
      </c>
      <c r="W443" s="14">
        <f t="shared" si="55"/>
        <v>-0.6518737074405576</v>
      </c>
      <c r="X443" s="14">
        <f t="shared" si="56"/>
        <v>-0.0003126079180022501</v>
      </c>
      <c r="Y443" s="14">
        <f t="shared" si="57"/>
        <v>-0.00023629816680070803</v>
      </c>
      <c r="Z443" s="15">
        <f t="shared" si="50"/>
        <v>-22.13550033272492</v>
      </c>
    </row>
    <row r="444" spans="18:26" ht="12">
      <c r="R444" s="13">
        <v>6619.974825577695</v>
      </c>
      <c r="S444" s="13">
        <f t="shared" si="51"/>
        <v>0.9431865886160661</v>
      </c>
      <c r="T444" s="13">
        <f t="shared" si="52"/>
        <v>0.8255766410338852</v>
      </c>
      <c r="U444" s="14">
        <f t="shared" si="53"/>
        <v>-21.888614337336858</v>
      </c>
      <c r="V444" s="14">
        <f t="shared" si="54"/>
        <v>0.00032003798447144405</v>
      </c>
      <c r="W444" s="14">
        <f t="shared" si="55"/>
        <v>-0.5273164899221285</v>
      </c>
      <c r="X444" s="14">
        <f t="shared" si="56"/>
        <v>-0.0002985555860062217</v>
      </c>
      <c r="Y444" s="14">
        <f t="shared" si="57"/>
        <v>-0.0002256417784962661</v>
      </c>
      <c r="Z444" s="15">
        <f t="shared" si="50"/>
        <v>-22.416134986639015</v>
      </c>
    </row>
    <row r="445" spans="18:26" ht="12">
      <c r="R445" s="13">
        <v>6752.374322089249</v>
      </c>
      <c r="S445" s="13">
        <f t="shared" si="51"/>
        <v>0.9620503203883876</v>
      </c>
      <c r="T445" s="13">
        <f t="shared" si="52"/>
        <v>0.8563216468207974</v>
      </c>
      <c r="U445" s="14">
        <f t="shared" si="53"/>
        <v>-22.2962150297379</v>
      </c>
      <c r="V445" s="14">
        <f t="shared" si="54"/>
        <v>0.0003055657595458783</v>
      </c>
      <c r="W445" s="14">
        <f t="shared" si="55"/>
        <v>-0.3829426392426092</v>
      </c>
      <c r="X445" s="14">
        <f t="shared" si="56"/>
        <v>-0.0002850524889914663</v>
      </c>
      <c r="Y445" s="14">
        <f t="shared" si="57"/>
        <v>-0.00021540494680394318</v>
      </c>
      <c r="Z445" s="15">
        <f t="shared" si="50"/>
        <v>-22.67935256065676</v>
      </c>
    </row>
    <row r="446" spans="18:26" ht="12">
      <c r="R446" s="13">
        <v>6887.421808531034</v>
      </c>
      <c r="S446" s="13">
        <f t="shared" si="51"/>
        <v>0.9812913267961552</v>
      </c>
      <c r="T446" s="13">
        <f t="shared" si="52"/>
        <v>0.8881007217375965</v>
      </c>
      <c r="U446" s="14">
        <f t="shared" si="53"/>
        <v>-22.7063351981026</v>
      </c>
      <c r="V446" s="14">
        <f t="shared" si="54"/>
        <v>0.0002916593297925818</v>
      </c>
      <c r="W446" s="14">
        <f t="shared" si="55"/>
        <v>-0.21737756273499098</v>
      </c>
      <c r="X446" s="14">
        <f t="shared" si="56"/>
        <v>-0.00027207750549629317</v>
      </c>
      <c r="Y446" s="14">
        <f t="shared" si="57"/>
        <v>-0.00020557130018183933</v>
      </c>
      <c r="Z446" s="15">
        <f t="shared" si="50"/>
        <v>-22.923898750313477</v>
      </c>
    </row>
    <row r="447" spans="18:26" ht="12">
      <c r="R447" s="13">
        <v>7025.170244701655</v>
      </c>
      <c r="S447" s="13">
        <f t="shared" si="51"/>
        <v>1.0009171533320784</v>
      </c>
      <c r="T447" s="13">
        <f t="shared" si="52"/>
        <v>0.9209393583686406</v>
      </c>
      <c r="U447" s="14">
        <f t="shared" si="53"/>
        <v>-23.119103387467014</v>
      </c>
      <c r="V447" s="14">
        <f t="shared" si="54"/>
        <v>0.00027829696958436845</v>
      </c>
      <c r="W447" s="14">
        <f t="shared" si="55"/>
        <v>-0.029370062393783813</v>
      </c>
      <c r="X447" s="14">
        <f t="shared" si="56"/>
        <v>-0.00025961034078358924</v>
      </c>
      <c r="Y447" s="14">
        <f t="shared" si="57"/>
        <v>-0.00019612512570621465</v>
      </c>
      <c r="Z447" s="15">
        <f t="shared" si="50"/>
        <v>-23.148650888357707</v>
      </c>
    </row>
    <row r="448" spans="18:26" ht="12">
      <c r="R448" s="13">
        <v>7165.673649595688</v>
      </c>
      <c r="S448" s="13">
        <f t="shared" si="51"/>
        <v>1.0209354963987198</v>
      </c>
      <c r="T448" s="13">
        <f t="shared" si="52"/>
        <v>0.9548628432613844</v>
      </c>
      <c r="U448" s="14">
        <f t="shared" si="53"/>
        <v>-23.53465682564584</v>
      </c>
      <c r="V448" s="14">
        <f t="shared" si="54"/>
        <v>0.0002654578033698396</v>
      </c>
      <c r="W448" s="14">
        <f t="shared" si="55"/>
        <v>0.18216708073600052</v>
      </c>
      <c r="X448" s="14">
        <f t="shared" si="56"/>
        <v>-0.0002476314954034109</v>
      </c>
      <c r="Y448" s="14">
        <f t="shared" si="57"/>
        <v>-0.00018705134262525513</v>
      </c>
      <c r="Z448" s="15">
        <f t="shared" si="50"/>
        <v>-23.352658969944496</v>
      </c>
    </row>
    <row r="449" spans="18:26" ht="12">
      <c r="R449" s="13">
        <v>7308.987122587602</v>
      </c>
      <c r="S449" s="13">
        <f t="shared" si="51"/>
        <v>1.0413542063266943</v>
      </c>
      <c r="T449" s="13">
        <f t="shared" si="52"/>
        <v>0.9898961596863524</v>
      </c>
      <c r="U449" s="14">
        <f t="shared" si="53"/>
        <v>-23.953141920690907</v>
      </c>
      <c r="V449" s="14">
        <f t="shared" si="54"/>
        <v>0.0002531217734988156</v>
      </c>
      <c r="W449" s="14">
        <f t="shared" si="55"/>
        <v>0.41811990625934303</v>
      </c>
      <c r="X449" s="14">
        <f t="shared" si="56"/>
        <v>-0.00023612223499025475</v>
      </c>
      <c r="Y449" s="14">
        <f t="shared" si="57"/>
        <v>-0.00017833547704937391</v>
      </c>
      <c r="Z449" s="15">
        <f t="shared" si="50"/>
        <v>-23.535183350370104</v>
      </c>
    </row>
    <row r="450" spans="18:26" ht="12">
      <c r="R450" s="13">
        <v>7455.166865039354</v>
      </c>
      <c r="S450" s="13">
        <f t="shared" si="51"/>
        <v>1.0621812904532282</v>
      </c>
      <c r="T450" s="13">
        <f t="shared" si="52"/>
        <v>1.0260638806980633</v>
      </c>
      <c r="U450" s="14">
        <f t="shared" si="53"/>
        <v>-24.374714819645103</v>
      </c>
      <c r="V450" s="14">
        <f t="shared" si="54"/>
        <v>0.00024126960930809238</v>
      </c>
      <c r="W450" s="14">
        <f t="shared" si="55"/>
        <v>0.6791422310254123</v>
      </c>
      <c r="X450" s="14">
        <f t="shared" si="56"/>
        <v>-0.00022506456127205365</v>
      </c>
      <c r="Y450" s="14">
        <f t="shared" si="57"/>
        <v>-0.00016996363774929302</v>
      </c>
      <c r="Z450" s="15">
        <f t="shared" si="50"/>
        <v>-23.6957263472094</v>
      </c>
    </row>
    <row r="451" spans="18:26" ht="12">
      <c r="R451" s="13">
        <v>7604.270202340142</v>
      </c>
      <c r="S451" s="13">
        <f t="shared" si="51"/>
        <v>1.0834249162622929</v>
      </c>
      <c r="T451" s="13">
        <f t="shared" si="52"/>
        <v>1.0633900518132537</v>
      </c>
      <c r="U451" s="14">
        <f t="shared" si="53"/>
        <v>-24.799542034005547</v>
      </c>
      <c r="V451" s="14">
        <f t="shared" si="54"/>
        <v>0.0002298827974485662</v>
      </c>
      <c r="W451" s="14">
        <f t="shared" si="55"/>
        <v>0.9656332057713197</v>
      </c>
      <c r="X451" s="14">
        <f t="shared" si="56"/>
        <v>-0.00021444118422175862</v>
      </c>
      <c r="Y451" s="14">
        <f t="shared" si="57"/>
        <v>-0.0001619224930028973</v>
      </c>
      <c r="Z451" s="15">
        <f t="shared" si="50"/>
        <v>-23.834055309114007</v>
      </c>
    </row>
    <row r="452" spans="18:26" ht="12">
      <c r="R452" s="13">
        <v>7756.355606386945</v>
      </c>
      <c r="S452" s="13">
        <f t="shared" si="51"/>
        <v>1.1050934145875386</v>
      </c>
      <c r="T452" s="13">
        <f t="shared" si="52"/>
        <v>1.1018980625921029</v>
      </c>
      <c r="U452" s="14">
        <f t="shared" si="53"/>
        <v>-25.227801138160466</v>
      </c>
      <c r="V452" s="14">
        <f t="shared" si="54"/>
        <v>0.0002189435533688222</v>
      </c>
      <c r="W452" s="14">
        <f t="shared" si="55"/>
        <v>1.27772523067979</v>
      </c>
      <c r="X452" s="14">
        <f t="shared" si="56"/>
        <v>-0.00020423549532133656</v>
      </c>
      <c r="Y452" s="14">
        <f t="shared" si="57"/>
        <v>-0.00015419924844761734</v>
      </c>
      <c r="Z452" s="15">
        <f t="shared" si="50"/>
        <v>-23.95021539867108</v>
      </c>
    </row>
    <row r="453" spans="18:26" ht="12">
      <c r="R453" s="13">
        <v>7911.482718514683</v>
      </c>
      <c r="S453" s="13">
        <f t="shared" si="51"/>
        <v>1.1271952828792895</v>
      </c>
      <c r="T453" s="13">
        <f t="shared" si="52"/>
        <v>1.1416105063783917</v>
      </c>
      <c r="U453" s="14">
        <f t="shared" si="53"/>
        <v>-25.65968154803624</v>
      </c>
      <c r="V453" s="14">
        <f t="shared" si="54"/>
        <v>0.0002084347939672604</v>
      </c>
      <c r="W453" s="14">
        <f t="shared" si="55"/>
        <v>1.6152830225282393</v>
      </c>
      <c r="X453" s="14">
        <f t="shared" si="56"/>
        <v>-0.0001944315419175613</v>
      </c>
      <c r="Y453" s="14">
        <f t="shared" si="57"/>
        <v>-0.00014678162590597843</v>
      </c>
      <c r="Z453" s="15">
        <f t="shared" si="50"/>
        <v>-24.044531303881854</v>
      </c>
    </row>
    <row r="454" spans="18:26" ht="12">
      <c r="R454" s="13">
        <v>8069.712372884977</v>
      </c>
      <c r="S454" s="13">
        <f t="shared" si="51"/>
        <v>1.1497391885368753</v>
      </c>
      <c r="T454" s="13">
        <f t="shared" si="52"/>
        <v>1.1825490274259751</v>
      </c>
      <c r="U454" s="14">
        <f t="shared" si="53"/>
        <v>-26.095385388306056</v>
      </c>
      <c r="V454" s="14">
        <f t="shared" si="54"/>
        <v>0.0001983401113279104</v>
      </c>
      <c r="W454" s="14">
        <f t="shared" si="55"/>
        <v>1.9779135116410669</v>
      </c>
      <c r="X454" s="14">
        <f t="shared" si="56"/>
        <v>-0.00018501400259540723</v>
      </c>
      <c r="Y454" s="14">
        <f t="shared" si="57"/>
        <v>-0.00013965784311942286</v>
      </c>
      <c r="Z454" s="15">
        <f t="shared" si="50"/>
        <v>-24.11759820839938</v>
      </c>
    </row>
    <row r="455" spans="18:26" ht="12">
      <c r="R455" s="13">
        <v>8231.106620342676</v>
      </c>
      <c r="S455" s="13">
        <f t="shared" si="51"/>
        <v>1.1727339723076127</v>
      </c>
      <c r="T455" s="13">
        <f t="shared" si="52"/>
        <v>1.2247341546121908</v>
      </c>
      <c r="U455" s="14">
        <f t="shared" si="53"/>
        <v>-26.535128457795864</v>
      </c>
      <c r="V455" s="14">
        <f t="shared" si="54"/>
        <v>0.00018864374751514923</v>
      </c>
      <c r="W455" s="14">
        <f t="shared" si="55"/>
        <v>2.3649851503619237</v>
      </c>
      <c r="X455" s="14">
        <f t="shared" si="56"/>
        <v>-0.00017596816356868494</v>
      </c>
      <c r="Y455" s="14">
        <f t="shared" si="57"/>
        <v>-0.00013281659438768578</v>
      </c>
      <c r="Z455" s="15">
        <f t="shared" si="50"/>
        <v>-24.17026344844438</v>
      </c>
    </row>
    <row r="456" spans="18:26" ht="12">
      <c r="R456" s="13">
        <v>8395.72875274953</v>
      </c>
      <c r="S456" s="13">
        <f t="shared" si="51"/>
        <v>1.1961886517537652</v>
      </c>
      <c r="T456" s="13">
        <f t="shared" si="52"/>
        <v>1.2681851209144166</v>
      </c>
      <c r="U456" s="14">
        <f t="shared" si="53"/>
        <v>-26.979141304208678</v>
      </c>
      <c r="V456" s="14">
        <f t="shared" si="54"/>
        <v>0.00017933057042673894</v>
      </c>
      <c r="W456" s="14">
        <f t="shared" si="55"/>
        <v>2.77565429647834</v>
      </c>
      <c r="X456" s="14">
        <f t="shared" si="56"/>
        <v>-0.00016727989603326776</v>
      </c>
      <c r="Y456" s="14">
        <f t="shared" si="57"/>
        <v>-0.0001262470320502196</v>
      </c>
      <c r="Z456" s="15">
        <f t="shared" si="50"/>
        <v>-24.203601204087995</v>
      </c>
    </row>
    <row r="457" spans="18:26" ht="12">
      <c r="R457" s="13">
        <v>8563.64332780452</v>
      </c>
      <c r="S457" s="13">
        <f t="shared" si="51"/>
        <v>1.2201124247888404</v>
      </c>
      <c r="T457" s="13">
        <f t="shared" si="52"/>
        <v>1.3129196678045827</v>
      </c>
      <c r="U457" s="14">
        <f t="shared" si="53"/>
        <v>-27.42767042101257</v>
      </c>
      <c r="V457" s="14">
        <f t="shared" si="54"/>
        <v>0.00017038605061658885</v>
      </c>
      <c r="W457" s="14">
        <f t="shared" si="55"/>
        <v>3.208895712515898</v>
      </c>
      <c r="X457" s="14">
        <f t="shared" si="56"/>
        <v>-0.00015893563445867898</v>
      </c>
      <c r="Y457" s="14">
        <f t="shared" si="57"/>
        <v>-0.0001199387487855752</v>
      </c>
      <c r="Z457" s="15">
        <f t="shared" si="50"/>
        <v>-24.218883196829303</v>
      </c>
    </row>
    <row r="458" spans="18:26" ht="12">
      <c r="R458" s="13">
        <v>8734.91619436061</v>
      </c>
      <c r="S458" s="13">
        <f t="shared" si="51"/>
        <v>1.2445146732846173</v>
      </c>
      <c r="T458" s="13">
        <f t="shared" si="52"/>
        <v>1.3589538336989135</v>
      </c>
      <c r="U458" s="14">
        <f t="shared" si="53"/>
        <v>-27.88097958134789</v>
      </c>
      <c r="V458" s="14">
        <f t="shared" si="54"/>
        <v>0.000161796239085632</v>
      </c>
      <c r="W458" s="14">
        <f t="shared" si="55"/>
        <v>3.6635339468283203</v>
      </c>
      <c r="X458" s="14">
        <f t="shared" si="56"/>
        <v>-0.00015092235579050595</v>
      </c>
      <c r="Y458" s="14">
        <f t="shared" si="57"/>
        <v>-0.00011388176070648015</v>
      </c>
      <c r="Z458" s="15">
        <f t="shared" si="50"/>
        <v>-24.21754864239698</v>
      </c>
    </row>
    <row r="459" spans="18:26" ht="12">
      <c r="R459" s="13">
        <v>8909.614518247823</v>
      </c>
      <c r="S459" s="13">
        <f t="shared" si="51"/>
        <v>1.2694049667503096</v>
      </c>
      <c r="T459" s="13">
        <f t="shared" si="52"/>
        <v>1.4063017255872312</v>
      </c>
      <c r="U459" s="14">
        <f t="shared" si="53"/>
        <v>-28.339351326160788</v>
      </c>
      <c r="V459" s="14">
        <f t="shared" si="54"/>
        <v>0.00015354774602904797</v>
      </c>
      <c r="W459" s="14">
        <f t="shared" si="55"/>
        <v>4.138272417407298</v>
      </c>
      <c r="X459" s="14">
        <f t="shared" si="56"/>
        <v>-0.0001432275595307786</v>
      </c>
      <c r="Y459" s="14">
        <f t="shared" si="57"/>
        <v>-0.0001080664911987661</v>
      </c>
      <c r="Z459" s="15">
        <f t="shared" si="50"/>
        <v>-24.201176655058187</v>
      </c>
    </row>
    <row r="460" spans="18:26" ht="12">
      <c r="R460" s="13">
        <v>9087.80680861278</v>
      </c>
      <c r="S460" s="13">
        <f t="shared" si="51"/>
        <v>1.2947930660853157</v>
      </c>
      <c r="T460" s="13">
        <f t="shared" si="52"/>
        <v>1.4549752729590217</v>
      </c>
      <c r="U460" s="14">
        <f t="shared" si="53"/>
        <v>-28.803088626532983</v>
      </c>
      <c r="V460" s="14">
        <f t="shared" si="54"/>
        <v>0.00014562772046078365</v>
      </c>
      <c r="W460" s="14">
        <f t="shared" si="55"/>
        <v>4.631717332379652</v>
      </c>
      <c r="X460" s="14">
        <f t="shared" si="56"/>
        <v>-0.00013583924866544805</v>
      </c>
      <c r="Y460" s="14">
        <f t="shared" si="57"/>
        <v>-0.00010248375551125122</v>
      </c>
      <c r="Z460" s="15">
        <f t="shared" si="50"/>
        <v>-24.17146398943705</v>
      </c>
    </row>
    <row r="461" spans="18:26" ht="12">
      <c r="R461" s="13">
        <v>9269.562944785037</v>
      </c>
      <c r="S461" s="13">
        <f t="shared" si="51"/>
        <v>1.3206889274070224</v>
      </c>
      <c r="T461" s="13">
        <f t="shared" si="52"/>
        <v>1.5049839631430761</v>
      </c>
      <c r="U461" s="14">
        <f t="shared" si="53"/>
        <v>-29.272516743435244</v>
      </c>
      <c r="V461" s="14">
        <f t="shared" si="54"/>
        <v>0.00013802383074246194</v>
      </c>
      <c r="W461" s="14">
        <f t="shared" si="55"/>
        <v>5.142394052117975</v>
      </c>
      <c r="X461" s="14">
        <f t="shared" si="56"/>
        <v>-0.00012874591143408054</v>
      </c>
      <c r="Y461" s="14">
        <f t="shared" si="57"/>
        <v>-9.71247460284097E-05</v>
      </c>
      <c r="Z461" s="15">
        <f t="shared" si="50"/>
        <v>-24.130210538143984</v>
      </c>
    </row>
    <row r="462" spans="18:26" ht="12">
      <c r="R462" s="13">
        <v>9454.954203680738</v>
      </c>
      <c r="S462" s="13">
        <f t="shared" si="51"/>
        <v>1.3471027059551628</v>
      </c>
      <c r="T462" s="13">
        <f t="shared" si="52"/>
        <v>1.5563345571853027</v>
      </c>
      <c r="U462" s="14">
        <f t="shared" si="53"/>
        <v>-29.747985311988405</v>
      </c>
      <c r="V462" s="14">
        <f t="shared" si="54"/>
        <v>0.00013072424596183296</v>
      </c>
      <c r="W462" s="14">
        <f t="shared" si="55"/>
        <v>5.66875402704126</v>
      </c>
      <c r="X462" s="14">
        <f t="shared" si="56"/>
        <v>-0.00012193650388248045</v>
      </c>
      <c r="Y462" s="14">
        <f t="shared" si="57"/>
        <v>-9.198101824337002E-05</v>
      </c>
      <c r="Z462" s="15">
        <f t="shared" si="50"/>
        <v>-24.07931447822331</v>
      </c>
    </row>
    <row r="463" spans="18:26" ht="12">
      <c r="R463" s="13">
        <v>9644.053287754354</v>
      </c>
      <c r="S463" s="13">
        <f t="shared" si="51"/>
        <v>1.3740447600742662</v>
      </c>
      <c r="T463" s="13">
        <f t="shared" si="52"/>
        <v>1.609030785406658</v>
      </c>
      <c r="U463" s="14">
        <f t="shared" si="53"/>
        <v>-30.229870681900323</v>
      </c>
      <c r="V463" s="14">
        <f t="shared" si="54"/>
        <v>0.0001237176181438926</v>
      </c>
      <c r="W463" s="14">
        <f t="shared" si="55"/>
        <v>6.209170956976058</v>
      </c>
      <c r="X463" s="14">
        <f t="shared" si="56"/>
        <v>-0.0001154004332262204</v>
      </c>
      <c r="Y463" s="14">
        <f t="shared" si="57"/>
        <v>-8.704447737706289E-05</v>
      </c>
      <c r="Z463" s="15">
        <f t="shared" si="50"/>
        <v>-24.020778452216724</v>
      </c>
    </row>
    <row r="464" spans="18:26" ht="12">
      <c r="R464" s="13">
        <v>9836.934353509441</v>
      </c>
      <c r="S464" s="13">
        <f t="shared" si="51"/>
        <v>1.4015256552757516</v>
      </c>
      <c r="T464" s="13">
        <f t="shared" si="52"/>
        <v>1.6630730218116418</v>
      </c>
      <c r="U464" s="14">
        <f t="shared" si="53"/>
        <v>-30.718578551217746</v>
      </c>
      <c r="V464" s="14">
        <f t="shared" si="54"/>
        <v>0.00011699306527912512</v>
      </c>
      <c r="W464" s="14">
        <f t="shared" si="55"/>
        <v>6.76192527662927</v>
      </c>
      <c r="X464" s="14">
        <f t="shared" si="56"/>
        <v>-0.00010912754195491203</v>
      </c>
      <c r="Y464" s="14">
        <f t="shared" si="57"/>
        <v>-8.230736565195684E-05</v>
      </c>
      <c r="Z464" s="15">
        <f t="shared" si="50"/>
        <v>-23.9567277164308</v>
      </c>
    </row>
    <row r="465" spans="18:26" ht="12">
      <c r="R465" s="13">
        <v>10033.67304057963</v>
      </c>
      <c r="S465" s="13">
        <f t="shared" si="51"/>
        <v>1.4295561683812665</v>
      </c>
      <c r="T465" s="13">
        <f t="shared" si="52"/>
        <v>1.718457936559354</v>
      </c>
      <c r="U465" s="14">
        <f t="shared" si="53"/>
        <v>-31.214546937090283</v>
      </c>
      <c r="V465" s="14">
        <f t="shared" si="54"/>
        <v>0.00011054015515643556</v>
      </c>
      <c r="W465" s="14">
        <f t="shared" si="55"/>
        <v>7.32517648921855</v>
      </c>
      <c r="X465" s="14">
        <f t="shared" si="56"/>
        <v>-0.00010310809269764576</v>
      </c>
      <c r="Y465" s="14">
        <f t="shared" si="57"/>
        <v>-7.776225017241956E-05</v>
      </c>
      <c r="Z465" s="15">
        <f t="shared" si="50"/>
        <v>-23.88944077805945</v>
      </c>
    </row>
    <row r="466" spans="18:26" ht="12">
      <c r="R466" s="13">
        <v>10234.346501391223</v>
      </c>
      <c r="S466" s="13">
        <f t="shared" si="51"/>
        <v>1.458147291748892</v>
      </c>
      <c r="T466" s="13">
        <f t="shared" si="52"/>
        <v>1.7751781257656125</v>
      </c>
      <c r="U466" s="14">
        <f t="shared" si="53"/>
        <v>-31.718249535137623</v>
      </c>
      <c r="V466" s="14">
        <f t="shared" si="54"/>
        <v>0.00010434888995458635</v>
      </c>
      <c r="W466" s="14">
        <f t="shared" si="55"/>
        <v>7.89692330901247</v>
      </c>
      <c r="X466" s="14">
        <f t="shared" si="56"/>
        <v>-9.733275382295403E-05</v>
      </c>
      <c r="Y466" s="14">
        <f t="shared" si="57"/>
        <v>-7.340201142724823E-05</v>
      </c>
      <c r="Z466" s="15">
        <f t="shared" si="50"/>
        <v>-23.821392612000448</v>
      </c>
    </row>
    <row r="467" spans="18:26" ht="12">
      <c r="R467" s="13">
        <v>10439.033431419048</v>
      </c>
      <c r="S467" s="13">
        <f t="shared" si="51"/>
        <v>1.4873102375838696</v>
      </c>
      <c r="T467" s="13">
        <f t="shared" si="52"/>
        <v>1.8332217179784132</v>
      </c>
      <c r="U467" s="14">
        <f t="shared" si="53"/>
        <v>-32.23019952855809</v>
      </c>
      <c r="V467" s="14">
        <f t="shared" si="54"/>
        <v>9.840969163743551E-05</v>
      </c>
      <c r="W467" s="14">
        <f t="shared" si="55"/>
        <v>8.47495214656995</v>
      </c>
      <c r="X467" s="14">
        <f t="shared" si="56"/>
        <v>-9.179258574221194E-05</v>
      </c>
      <c r="Y467" s="14">
        <f t="shared" si="57"/>
        <v>-6.921983236907181E-05</v>
      </c>
      <c r="Z467" s="15">
        <f t="shared" si="50"/>
        <v>-23.75530998471461</v>
      </c>
    </row>
    <row r="468" spans="18:26" ht="12">
      <c r="R468" s="13">
        <v>10647.81410004743</v>
      </c>
      <c r="S468" s="13">
        <f t="shared" si="51"/>
        <v>1.5170564423355475</v>
      </c>
      <c r="T468" s="13">
        <f t="shared" si="52"/>
        <v>1.8925719567624746</v>
      </c>
      <c r="U468" s="14">
        <f t="shared" si="53"/>
        <v>-32.75095391971614</v>
      </c>
      <c r="V468" s="14">
        <f t="shared" si="54"/>
        <v>9.27133880601616E-05</v>
      </c>
      <c r="W468" s="14">
        <f t="shared" si="55"/>
        <v>9.056775339638897</v>
      </c>
      <c r="X468" s="14">
        <f t="shared" si="56"/>
        <v>-8.647902794489681E-05</v>
      </c>
      <c r="Y468" s="14">
        <f t="shared" si="57"/>
        <v>-6.5209188084836E-05</v>
      </c>
      <c r="Z468" s="15">
        <f t="shared" si="50"/>
        <v>-23.694237554905214</v>
      </c>
    </row>
    <row r="469" spans="18:26" ht="12">
      <c r="R469" s="13">
        <v>10860.770382048378</v>
      </c>
      <c r="S469" s="13">
        <f t="shared" si="51"/>
        <v>1.5473975711822583</v>
      </c>
      <c r="T469" s="13">
        <f t="shared" si="52"/>
        <v>1.9532067589444848</v>
      </c>
      <c r="U469" s="14">
        <f t="shared" si="53"/>
        <v>-33.281118471109835</v>
      </c>
      <c r="V469" s="14">
        <f t="shared" si="54"/>
        <v>8.725119987040841E-05</v>
      </c>
      <c r="W469" s="14">
        <f t="shared" si="55"/>
        <v>9.639561899891895</v>
      </c>
      <c r="X469" s="14">
        <f t="shared" si="56"/>
        <v>-8.138388671241614E-05</v>
      </c>
      <c r="Y469" s="14">
        <f t="shared" si="57"/>
        <v>-6.136383603827511E-05</v>
      </c>
      <c r="Z469" s="15">
        <f t="shared" si="50"/>
        <v>-23.64161206774082</v>
      </c>
    </row>
    <row r="470" spans="18:26" ht="12">
      <c r="R470" s="13">
        <v>11077.985789689346</v>
      </c>
      <c r="S470" s="13">
        <f t="shared" si="51"/>
        <v>1.5783455226059036</v>
      </c>
      <c r="T470" s="13">
        <f t="shared" si="52"/>
        <v>2.015098248211967</v>
      </c>
      <c r="U470" s="14">
        <f t="shared" si="53"/>
        <v>-33.82135336000334</v>
      </c>
      <c r="V470" s="14">
        <f t="shared" si="54"/>
        <v>8.201472811730781E-05</v>
      </c>
      <c r="W470" s="14">
        <f t="shared" si="55"/>
        <v>10.220065627014673</v>
      </c>
      <c r="X470" s="14">
        <f t="shared" si="56"/>
        <v>-7.649932354159006E-05</v>
      </c>
      <c r="Y470" s="14">
        <f t="shared" si="57"/>
        <v>-5.767780686305457E-05</v>
      </c>
      <c r="Z470" s="15">
        <f t="shared" si="50"/>
        <v>-23.601339895390957</v>
      </c>
    </row>
    <row r="471" spans="18:26" ht="12">
      <c r="R471" s="13">
        <v>11299.545505483133</v>
      </c>
      <c r="S471" s="13">
        <f t="shared" si="51"/>
        <v>1.6099124330580215</v>
      </c>
      <c r="T471" s="13">
        <f t="shared" si="52"/>
        <v>2.0782122639285543</v>
      </c>
      <c r="U471" s="14">
        <f t="shared" si="53"/>
        <v>-34.37237967246092</v>
      </c>
      <c r="V471" s="14">
        <f t="shared" si="54"/>
        <v>7.69959426065725E-05</v>
      </c>
      <c r="W471" s="14">
        <f t="shared" si="55"/>
        <v>10.794558405341753</v>
      </c>
      <c r="X471" s="14">
        <f t="shared" si="56"/>
        <v>-7.181784425736026E-05</v>
      </c>
      <c r="Y471" s="14">
        <f t="shared" si="57"/>
        <v>-5.414539573322941E-05</v>
      </c>
      <c r="Z471" s="15">
        <f t="shared" si="50"/>
        <v>-23.577870234416554</v>
      </c>
    </row>
    <row r="472" spans="18:26" ht="12">
      <c r="R472" s="13">
        <v>11525.536415592796</v>
      </c>
      <c r="S472" s="13">
        <f t="shared" si="51"/>
        <v>1.6421106817191822</v>
      </c>
      <c r="T472" s="13">
        <f t="shared" si="52"/>
        <v>2.1425078452306043</v>
      </c>
      <c r="U472" s="14">
        <f t="shared" si="53"/>
        <v>-34.934986889143154</v>
      </c>
      <c r="V472" s="14">
        <f t="shared" si="54"/>
        <v>7.218717101409311E-05</v>
      </c>
      <c r="W472" s="14">
        <f t="shared" si="55"/>
        <v>11.358780342330641</v>
      </c>
      <c r="X472" s="14">
        <f t="shared" si="56"/>
        <v>-6.73322888111727E-05</v>
      </c>
      <c r="Y472" s="14">
        <f t="shared" si="57"/>
        <v>-5.076115426749794E-05</v>
      </c>
      <c r="Z472" s="15">
        <f t="shared" si="50"/>
        <v>-23.576252453084578</v>
      </c>
    </row>
    <row r="473" spans="18:26" ht="12">
      <c r="R473" s="13">
        <v>11756.047143904652</v>
      </c>
      <c r="S473" s="13">
        <f t="shared" si="51"/>
        <v>1.674952895353566</v>
      </c>
      <c r="T473" s="13">
        <f t="shared" si="52"/>
        <v>2.2079366907081166</v>
      </c>
      <c r="U473" s="14">
        <f t="shared" si="53"/>
        <v>-35.51004154846625</v>
      </c>
      <c r="V473" s="14">
        <f t="shared" si="54"/>
        <v>6.758108871629531E-05</v>
      </c>
      <c r="W473" s="14">
        <f t="shared" si="55"/>
        <v>11.907922760070061</v>
      </c>
      <c r="X473" s="14">
        <f t="shared" si="56"/>
        <v>-6.303582178368572E-05</v>
      </c>
      <c r="Y473" s="14">
        <f t="shared" si="57"/>
        <v>-4.7519883007218766E-05</v>
      </c>
      <c r="Z473" s="15">
        <f t="shared" si="50"/>
        <v>-23.602161763012266</v>
      </c>
    </row>
    <row r="474" spans="18:26" ht="12">
      <c r="R474" s="13">
        <v>11991.168086782745</v>
      </c>
      <c r="S474" s="13">
        <f t="shared" si="51"/>
        <v>1.7084519532606373</v>
      </c>
      <c r="T474" s="13">
        <f t="shared" si="52"/>
        <v>2.2744425942511834</v>
      </c>
      <c r="U474" s="14">
        <f t="shared" si="53"/>
        <v>-36.098497314493386</v>
      </c>
      <c r="V474" s="14">
        <f t="shared" si="54"/>
        <v>6.317070939676483E-05</v>
      </c>
      <c r="W474" s="14">
        <f t="shared" si="55"/>
        <v>12.436663906610274</v>
      </c>
      <c r="X474" s="14">
        <f t="shared" si="56"/>
        <v>-5.892192359002735E-05</v>
      </c>
      <c r="Y474" s="14">
        <f t="shared" si="57"/>
        <v>-4.441662444421013E-05</v>
      </c>
      <c r="Z474" s="15">
        <f t="shared" si="50"/>
        <v>-23.66187357572175</v>
      </c>
    </row>
    <row r="475" spans="18:26" ht="12">
      <c r="R475" s="13">
        <v>12230.9914485184</v>
      </c>
      <c r="S475" s="13">
        <f t="shared" si="51"/>
        <v>1.7426209923258498</v>
      </c>
      <c r="T475" s="13">
        <f t="shared" si="52"/>
        <v>2.3419608579659075</v>
      </c>
      <c r="U475" s="14">
        <f t="shared" si="53"/>
        <v>-36.70140672976067</v>
      </c>
      <c r="V475" s="14">
        <f t="shared" si="54"/>
        <v>5.894937640960052E-05</v>
      </c>
      <c r="W475" s="14">
        <f t="shared" si="55"/>
        <v>12.939278761358125</v>
      </c>
      <c r="X475" s="14">
        <f t="shared" si="56"/>
        <v>-5.498438240891801E-05</v>
      </c>
      <c r="Y475" s="14">
        <f t="shared" si="57"/>
        <v>-4.1446656616983546E-05</v>
      </c>
      <c r="Z475" s="15">
        <f t="shared" si="50"/>
        <v>-23.76216545006516</v>
      </c>
    </row>
    <row r="476" spans="18:26" ht="12">
      <c r="R476" s="13">
        <v>12475.611277488768</v>
      </c>
      <c r="S476" s="13">
        <f t="shared" si="51"/>
        <v>1.777473412172367</v>
      </c>
      <c r="T476" s="13">
        <f t="shared" si="52"/>
        <v>2.4104176834357385</v>
      </c>
      <c r="U476" s="14">
        <f t="shared" si="53"/>
        <v>-37.31993500055208</v>
      </c>
      <c r="V476" s="14">
        <f t="shared" si="54"/>
        <v>5.491075491814712E-05</v>
      </c>
      <c r="W476" s="14">
        <f t="shared" si="55"/>
        <v>13.409840839464387</v>
      </c>
      <c r="X476" s="14">
        <f t="shared" si="56"/>
        <v>-5.121728681789506E-05</v>
      </c>
      <c r="Y476" s="14">
        <f t="shared" si="57"/>
        <v>-3.860548729406332E-05</v>
      </c>
      <c r="Z476" s="15">
        <f t="shared" si="50"/>
        <v>-23.910129073106884</v>
      </c>
    </row>
    <row r="477" spans="18:26" ht="12">
      <c r="R477" s="13">
        <v>12725.123503038543</v>
      </c>
      <c r="S477" s="13">
        <f t="shared" si="51"/>
        <v>1.8130228804158142</v>
      </c>
      <c r="T477" s="13">
        <f t="shared" si="52"/>
        <v>2.4797295430303663</v>
      </c>
      <c r="U477" s="14">
        <f t="shared" si="53"/>
        <v>-37.955376248544596</v>
      </c>
      <c r="V477" s="14">
        <f t="shared" si="54"/>
        <v>5.10488248579577E-05</v>
      </c>
      <c r="W477" s="14">
        <f t="shared" si="55"/>
        <v>13.842522761514555</v>
      </c>
      <c r="X477" s="14">
        <f t="shared" si="56"/>
        <v>-4.7615019220792476E-05</v>
      </c>
      <c r="Y477" s="14">
        <f t="shared" si="57"/>
        <v>-3.5888848720411204E-05</v>
      </c>
      <c r="Z477" s="15">
        <f t="shared" si="50"/>
        <v>-24.112885942073124</v>
      </c>
    </row>
    <row r="478" spans="18:26" ht="12">
      <c r="R478" s="13">
        <v>12979.625973099315</v>
      </c>
      <c r="S478" s="13">
        <f t="shared" si="51"/>
        <v>1.8492833380241305</v>
      </c>
      <c r="T478" s="13">
        <f t="shared" si="52"/>
        <v>2.549802533449977</v>
      </c>
      <c r="U478" s="14">
        <f t="shared" si="53"/>
        <v>-38.60917277456221</v>
      </c>
      <c r="V478" s="14">
        <f t="shared" si="54"/>
        <v>4.735787473642006E-05</v>
      </c>
      <c r="W478" s="14">
        <f t="shared" si="55"/>
        <v>14.231982388548744</v>
      </c>
      <c r="X478" s="14">
        <f t="shared" si="56"/>
        <v>-4.4172250039054006E-05</v>
      </c>
      <c r="Y478" s="14">
        <f t="shared" si="57"/>
        <v>-3.3292693016662156E-05</v>
      </c>
      <c r="Z478" s="15">
        <f t="shared" si="50"/>
        <v>-24.377220493081786</v>
      </c>
    </row>
    <row r="479" spans="18:26" ht="12">
      <c r="R479" s="13">
        <v>13239.218492561302</v>
      </c>
      <c r="S479" s="13">
        <f t="shared" si="51"/>
        <v>1.8862690047846133</v>
      </c>
      <c r="T479" s="13">
        <f t="shared" si="52"/>
        <v>2.620531714243182</v>
      </c>
      <c r="U479" s="14">
        <f t="shared" si="53"/>
        <v>-39.28293802612842</v>
      </c>
      <c r="V479" s="14">
        <f t="shared" si="54"/>
        <v>4.3832496295692636E-05</v>
      </c>
      <c r="W479" s="14">
        <f t="shared" si="55"/>
        <v>14.573795047048304</v>
      </c>
      <c r="X479" s="14">
        <f t="shared" si="56"/>
        <v>-4.088393272283497E-05</v>
      </c>
      <c r="Y479" s="14">
        <f t="shared" si="57"/>
        <v>-3.0813188180545126E-05</v>
      </c>
      <c r="Z479" s="15">
        <f t="shared" si="50"/>
        <v>-24.709170843704726</v>
      </c>
    </row>
    <row r="480" spans="18:26" ht="12">
      <c r="R480" s="13">
        <v>13504.002862412528</v>
      </c>
      <c r="S480" s="13">
        <f t="shared" si="51"/>
        <v>1.9239943848803054</v>
      </c>
      <c r="T480" s="13">
        <f t="shared" si="52"/>
        <v>2.6918004346579574</v>
      </c>
      <c r="U480" s="14">
        <f t="shared" si="53"/>
        <v>-39.97848415277334</v>
      </c>
      <c r="V480" s="14">
        <f t="shared" si="54"/>
        <v>4.0467580115333135E-05</v>
      </c>
      <c r="W480" s="14">
        <f t="shared" si="55"/>
        <v>14.864867318295484</v>
      </c>
      <c r="X480" s="14">
        <f t="shared" si="56"/>
        <v>-3.774529962541351E-05</v>
      </c>
      <c r="Y480" s="14">
        <f t="shared" si="57"/>
        <v>-2.8446714766872105E-05</v>
      </c>
      <c r="Z480" s="15">
        <f t="shared" si="50"/>
        <v>-25.113642558912133</v>
      </c>
    </row>
    <row r="481" spans="18:26" ht="12">
      <c r="R481" s="13">
        <v>13774.08291966078</v>
      </c>
      <c r="S481" s="13">
        <f t="shared" si="51"/>
        <v>1.9624742725779116</v>
      </c>
      <c r="T481" s="13">
        <f t="shared" si="52"/>
        <v>2.763479652882128</v>
      </c>
      <c r="U481" s="14">
        <f t="shared" si="53"/>
        <v>-40.697855288842526</v>
      </c>
      <c r="V481" s="14">
        <f t="shared" si="54"/>
        <v>3.7258312193699794E-05</v>
      </c>
      <c r="W481" s="14">
        <f t="shared" si="55"/>
        <v>15.103755141723976</v>
      </c>
      <c r="X481" s="14">
        <f t="shared" si="56"/>
        <v>-3.4751858809300984E-05</v>
      </c>
      <c r="Y481" s="14">
        <f t="shared" si="57"/>
        <v>-2.6189863289616255E-05</v>
      </c>
      <c r="Z481" s="15">
        <f t="shared" si="50"/>
        <v>-25.594123830528453</v>
      </c>
    </row>
    <row r="482" spans="18:26" ht="12">
      <c r="R482" s="13">
        <v>14049.564578053994</v>
      </c>
      <c r="S482" s="13">
        <f t="shared" si="51"/>
        <v>2.00172375802947</v>
      </c>
      <c r="T482" s="13">
        <f t="shared" si="52"/>
        <v>2.8354272525090227</v>
      </c>
      <c r="U482" s="14">
        <f t="shared" si="53"/>
        <v>-41.443368047492775</v>
      </c>
      <c r="V482" s="14">
        <f t="shared" si="54"/>
        <v>3.4200171569409576E-05</v>
      </c>
      <c r="W482" s="14">
        <f t="shared" si="55"/>
        <v>15.290818111120378</v>
      </c>
      <c r="X482" s="14">
        <f t="shared" si="56"/>
        <v>-3.1899391807144184E-05</v>
      </c>
      <c r="Y482" s="14">
        <f t="shared" si="57"/>
        <v>-2.40394323576254E-05</v>
      </c>
      <c r="Z482" s="15">
        <f t="shared" si="50"/>
        <v>-26.15257167502499</v>
      </c>
    </row>
    <row r="483" spans="18:26" ht="12">
      <c r="R483" s="13">
        <v>14330.555869615075</v>
      </c>
      <c r="S483" s="13">
        <f t="shared" si="51"/>
        <v>2.0417582331900594</v>
      </c>
      <c r="T483" s="13">
        <f t="shared" si="52"/>
        <v>2.9074873619306074</v>
      </c>
      <c r="U483" s="14">
        <f t="shared" si="53"/>
        <v>-42.217661177343494</v>
      </c>
      <c r="V483" s="14">
        <f t="shared" si="54"/>
        <v>3.128892909032288E-05</v>
      </c>
      <c r="W483" s="14">
        <f t="shared" si="55"/>
        <v>15.42817418298865</v>
      </c>
      <c r="X483" s="14">
        <f t="shared" si="56"/>
        <v>-2.918395247064609E-05</v>
      </c>
      <c r="Y483" s="14">
        <f t="shared" si="57"/>
        <v>-2.1992427628347855E-05</v>
      </c>
      <c r="Z483" s="15">
        <f t="shared" si="50"/>
        <v>-26.789506881805856</v>
      </c>
    </row>
    <row r="484" spans="18:26" ht="12">
      <c r="R484" s="13">
        <v>14617.166987007377</v>
      </c>
      <c r="S484" s="13">
        <f t="shared" si="51"/>
        <v>2.0825933978538607</v>
      </c>
      <c r="T484" s="13">
        <f t="shared" si="52"/>
        <v>2.9794896833199775</v>
      </c>
      <c r="U484" s="14">
        <f t="shared" si="53"/>
        <v>-43.02375697740372</v>
      </c>
      <c r="V484" s="14">
        <f t="shared" si="54"/>
        <v>2.8520647408214472E-05</v>
      </c>
      <c r="W484" s="14">
        <f t="shared" si="55"/>
        <v>15.51946467306755</v>
      </c>
      <c r="X484" s="14">
        <f t="shared" si="56"/>
        <v>-2.660186694214417E-05</v>
      </c>
      <c r="Y484" s="14">
        <f t="shared" si="57"/>
        <v>-2.0046061646183944E-05</v>
      </c>
      <c r="Z484" s="15">
        <f t="shared" si="50"/>
        <v>-27.504310431617355</v>
      </c>
    </row>
    <row r="485" spans="18:26" ht="12">
      <c r="R485" s="13">
        <v>14909.510326747524</v>
      </c>
      <c r="S485" s="13">
        <f t="shared" si="51"/>
        <v>2.124245265810938</v>
      </c>
      <c r="T485" s="13">
        <f t="shared" si="52"/>
        <v>3.0512488389226804</v>
      </c>
      <c r="U485" s="14">
        <f t="shared" si="53"/>
        <v>-43.86513796490763</v>
      </c>
      <c r="V485" s="14">
        <f t="shared" si="54"/>
        <v>2.5891682312817466E-05</v>
      </c>
      <c r="W485" s="14">
        <f t="shared" si="55"/>
        <v>15.569481322522773</v>
      </c>
      <c r="X485" s="14">
        <f t="shared" si="56"/>
        <v>-2.4149734901612874E-05</v>
      </c>
      <c r="Y485" s="14">
        <f t="shared" si="57"/>
        <v>-1.8197754636517516E-05</v>
      </c>
      <c r="Z485" s="15">
        <f t="shared" si="50"/>
        <v>-28.295673098192083</v>
      </c>
    </row>
    <row r="486" spans="18:26" ht="12">
      <c r="R486" s="13">
        <v>15207.700533282476</v>
      </c>
      <c r="S486" s="13">
        <f t="shared" si="51"/>
        <v>2.1667301711271567</v>
      </c>
      <c r="T486" s="13">
        <f t="shared" si="52"/>
        <v>3.1225637435363387</v>
      </c>
      <c r="U486" s="14">
        <f t="shared" si="53"/>
        <v>-44.74584356389957</v>
      </c>
      <c r="V486" s="14">
        <f t="shared" si="54"/>
        <v>2.33986855686652E-05</v>
      </c>
      <c r="W486" s="14">
        <f t="shared" si="55"/>
        <v>15.583730368087181</v>
      </c>
      <c r="X486" s="14">
        <f t="shared" si="56"/>
        <v>-2.1824432186789977E-05</v>
      </c>
      <c r="Y486" s="14">
        <f t="shared" si="57"/>
        <v>-1.6445136351350698E-05</v>
      </c>
      <c r="Z486" s="15">
        <f t="shared" si="50"/>
        <v>-29.16212806669536</v>
      </c>
    </row>
    <row r="487" spans="18:26" ht="12">
      <c r="R487" s="13">
        <v>15511.854543948126</v>
      </c>
      <c r="S487" s="13">
        <f t="shared" si="51"/>
        <v>2.2100647745497</v>
      </c>
      <c r="T487" s="13">
        <f t="shared" si="52"/>
        <v>3.1932170133240865</v>
      </c>
      <c r="U487" s="14">
        <f t="shared" si="53"/>
        <v>-45.67059341464211</v>
      </c>
      <c r="V487" s="14">
        <f t="shared" si="54"/>
        <v>2.1038609387957763E-05</v>
      </c>
      <c r="W487" s="14">
        <f t="shared" si="55"/>
        <v>15.568007732198993</v>
      </c>
      <c r="X487" s="14">
        <f t="shared" si="56"/>
        <v>-1.9623114981826006E-05</v>
      </c>
      <c r="Y487" s="14">
        <f t="shared" si="57"/>
        <v>-1.478604909443959E-05</v>
      </c>
      <c r="Z487" s="15">
        <f t="shared" si="50"/>
        <v>-30.102599052997803</v>
      </c>
    </row>
    <row r="488" spans="18:26" ht="12">
      <c r="R488" s="13">
        <v>15822.09163482709</v>
      </c>
      <c r="S488" s="13">
        <f t="shared" si="51"/>
        <v>2.254266070040694</v>
      </c>
      <c r="T488" s="13">
        <f t="shared" si="52"/>
        <v>3.262974422481918</v>
      </c>
      <c r="U488" s="14">
        <f t="shared" si="53"/>
        <v>-46.64494658735833</v>
      </c>
      <c r="V488" s="14">
        <f t="shared" si="54"/>
        <v>1.880871277748497E-05</v>
      </c>
      <c r="W488" s="14">
        <f t="shared" si="55"/>
        <v>15.528040156601127</v>
      </c>
      <c r="X488" s="14">
        <f t="shared" si="56"/>
        <v>-1.7543225691696307E-05</v>
      </c>
      <c r="Y488" s="14">
        <f t="shared" si="57"/>
        <v>-1.3218552059157673E-05</v>
      </c>
      <c r="Z488" s="15">
        <f t="shared" si="50"/>
        <v>-31.116918383822174</v>
      </c>
    </row>
    <row r="489" spans="18:26" ht="12">
      <c r="R489" s="13">
        <v>16138.533467523632</v>
      </c>
      <c r="S489" s="13">
        <f t="shared" si="51"/>
        <v>2.2993513914415082</v>
      </c>
      <c r="T489" s="13">
        <f t="shared" si="52"/>
        <v>3.3315844207643246</v>
      </c>
      <c r="U489" s="14">
        <f t="shared" si="53"/>
        <v>-47.67550999081835</v>
      </c>
      <c r="V489" s="14">
        <f t="shared" si="54"/>
        <v>1.6706569930136084E-05</v>
      </c>
      <c r="W489" s="14">
        <f t="shared" si="55"/>
        <v>15.469220341111624</v>
      </c>
      <c r="X489" s="14">
        <f t="shared" si="56"/>
        <v>-1.5582500802580057E-05</v>
      </c>
      <c r="Y489" s="14">
        <f t="shared" si="57"/>
        <v>-1.1740927122971812E-05</v>
      </c>
      <c r="Z489" s="15">
        <f t="shared" si="50"/>
        <v>-32.20630026656472</v>
      </c>
    </row>
    <row r="490" spans="18:26" ht="12">
      <c r="R490" s="13">
        <v>16461.304136874103</v>
      </c>
      <c r="S490" s="13">
        <f t="shared" si="51"/>
        <v>2.345338419270338</v>
      </c>
      <c r="T490" s="13">
        <f t="shared" si="52"/>
        <v>3.398777726465702</v>
      </c>
      <c r="U490" s="14">
        <f t="shared" si="53"/>
        <v>-48.7702153796746</v>
      </c>
      <c r="V490" s="14">
        <f t="shared" si="54"/>
        <v>1.4730081019820318E-05</v>
      </c>
      <c r="W490" s="14">
        <f t="shared" si="55"/>
        <v>15.396439943008346</v>
      </c>
      <c r="X490" s="14">
        <f t="shared" si="56"/>
        <v>-1.3738980909394627E-05</v>
      </c>
      <c r="Y490" s="14">
        <f t="shared" si="57"/>
        <v>-1.0351686331233623E-05</v>
      </c>
      <c r="Z490" s="15">
        <f t="shared" si="50"/>
        <v>-33.37378479725248</v>
      </c>
    </row>
    <row r="491" spans="18:26" ht="12">
      <c r="R491" s="13">
        <v>16790.530219611584</v>
      </c>
      <c r="S491" s="13">
        <f t="shared" si="51"/>
        <v>2.3922451876557447</v>
      </c>
      <c r="T491" s="13">
        <f t="shared" si="52"/>
        <v>3.46426701115406</v>
      </c>
      <c r="U491" s="14">
        <f t="shared" si="53"/>
        <v>-49.93869391791658</v>
      </c>
      <c r="V491" s="14">
        <f t="shared" si="54"/>
        <v>1.2877485637829977E-05</v>
      </c>
      <c r="W491" s="14">
        <f t="shared" si="55"/>
        <v>15.314008040466588</v>
      </c>
      <c r="X491" s="14">
        <f t="shared" si="56"/>
        <v>-1.2011023269309362E-05</v>
      </c>
      <c r="Y491" s="14">
        <f t="shared" si="57"/>
        <v>-9.049581251474592E-06</v>
      </c>
      <c r="Z491" s="15">
        <f t="shared" si="50"/>
        <v>-34.62469406056887</v>
      </c>
    </row>
    <row r="492" spans="18:26" ht="12">
      <c r="R492" s="13">
        <v>17126.340824003815</v>
      </c>
      <c r="S492" s="13">
        <f t="shared" si="51"/>
        <v>2.4400900914088597</v>
      </c>
      <c r="T492" s="13">
        <f t="shared" si="52"/>
        <v>3.5277466942525684</v>
      </c>
      <c r="U492" s="14">
        <f t="shared" si="53"/>
        <v>-51.19279259270107</v>
      </c>
      <c r="V492" s="14">
        <f t="shared" si="54"/>
        <v>1.1147379366249766E-05</v>
      </c>
      <c r="W492" s="14">
        <f t="shared" si="55"/>
        <v>15.225635086857658</v>
      </c>
      <c r="X492" s="14">
        <f t="shared" si="56"/>
        <v>-1.039731722585202E-05</v>
      </c>
      <c r="Y492" s="14">
        <f t="shared" si="57"/>
        <v>-7.833614541041811E-06</v>
      </c>
      <c r="Z492" s="15">
        <f t="shared" si="50"/>
        <v>-35.96716458939581</v>
      </c>
    </row>
    <row r="493" spans="18:26" ht="12">
      <c r="R493" s="13">
        <v>17468.86764048389</v>
      </c>
      <c r="S493" s="13">
        <f t="shared" si="51"/>
        <v>2.4888918932370365</v>
      </c>
      <c r="T493" s="13">
        <f t="shared" si="52"/>
        <v>3.5888928674543488</v>
      </c>
      <c r="U493" s="14">
        <f t="shared" si="53"/>
        <v>-52.54730215633523</v>
      </c>
      <c r="V493" s="14">
        <f t="shared" si="54"/>
        <v>9.538733861447213E-06</v>
      </c>
      <c r="W493" s="14">
        <f t="shared" si="55"/>
        <v>15.134461430544455</v>
      </c>
      <c r="X493" s="14">
        <f t="shared" si="56"/>
        <v>-8.896902974342424E-06</v>
      </c>
      <c r="Y493" s="14">
        <f t="shared" si="57"/>
        <v>-6.703053987422436E-06</v>
      </c>
      <c r="Z493" s="15">
        <f t="shared" si="50"/>
        <v>-37.412846787013876</v>
      </c>
    </row>
    <row r="494" spans="18:26" ht="12">
      <c r="R494" s="13">
        <v>17818.24499329357</v>
      </c>
      <c r="S494" s="13">
        <f t="shared" si="51"/>
        <v>2.5386697311017774</v>
      </c>
      <c r="T494" s="13">
        <f t="shared" si="52"/>
        <v>3.647363370923182</v>
      </c>
      <c r="U494" s="14">
        <f t="shared" si="53"/>
        <v>-54.021009773218324</v>
      </c>
      <c r="V494" s="14">
        <f t="shared" si="54"/>
        <v>8.050921115554388E-06</v>
      </c>
      <c r="W494" s="14">
        <f t="shared" si="55"/>
        <v>15.043112338830598</v>
      </c>
      <c r="X494" s="14">
        <f t="shared" si="56"/>
        <v>-7.509194134058816E-06</v>
      </c>
      <c r="Y494" s="14">
        <f t="shared" si="57"/>
        <v>-5.657449467122433E-06</v>
      </c>
      <c r="Z494" s="15">
        <f t="shared" si="50"/>
        <v>-38.977902550110215</v>
      </c>
    </row>
    <row r="495" spans="18:26" ht="12">
      <c r="R495" s="13">
        <v>18174.609893159442</v>
      </c>
      <c r="S495" s="13">
        <f t="shared" si="51"/>
        <v>2.5894431257238133</v>
      </c>
      <c r="T495" s="13">
        <f t="shared" si="52"/>
        <v>3.7027980452593665</v>
      </c>
      <c r="U495" s="14">
        <f t="shared" si="53"/>
        <v>-55.63826714398937</v>
      </c>
      <c r="V495" s="14">
        <f t="shared" si="54"/>
        <v>6.68374246259873E-06</v>
      </c>
      <c r="W495" s="14">
        <f t="shared" si="55"/>
        <v>14.953765799375173</v>
      </c>
      <c r="X495" s="14">
        <f t="shared" si="56"/>
        <v>-6.234004850114161E-06</v>
      </c>
      <c r="Y495" s="14">
        <f t="shared" si="57"/>
        <v>-4.696653315150456E-06</v>
      </c>
      <c r="Z495" s="15">
        <f t="shared" si="50"/>
        <v>-40.6845055915299</v>
      </c>
    </row>
    <row r="496" spans="18:26" ht="12">
      <c r="R496" s="13">
        <v>18538.102091022633</v>
      </c>
      <c r="S496" s="13">
        <f t="shared" si="51"/>
        <v>2.6412319882382893</v>
      </c>
      <c r="T496" s="13">
        <f t="shared" si="52"/>
        <v>3.7548191852719457</v>
      </c>
      <c r="U496" s="14">
        <f t="shared" si="53"/>
        <v>-57.43140993479399</v>
      </c>
      <c r="V496" s="14">
        <f t="shared" si="54"/>
        <v>5.437463292068401E-06</v>
      </c>
      <c r="W496" s="14">
        <f t="shared" si="55"/>
        <v>14.868223692400516</v>
      </c>
      <c r="X496" s="14">
        <f t="shared" si="56"/>
        <v>-5.071582135585118E-06</v>
      </c>
      <c r="Y496" s="14">
        <f t="shared" si="57"/>
        <v>-3.820844622026698E-06</v>
      </c>
      <c r="Z496" s="15">
        <f t="shared" si="50"/>
        <v>-42.56318969735695</v>
      </c>
    </row>
    <row r="497" spans="18:26" ht="12">
      <c r="R497" s="13">
        <v>18908.864132843086</v>
      </c>
      <c r="S497" s="13">
        <f t="shared" si="51"/>
        <v>2.6940566280030556</v>
      </c>
      <c r="T497" s="13">
        <f t="shared" si="52"/>
        <v>3.803032223665256</v>
      </c>
      <c r="U497" s="14">
        <f t="shared" si="53"/>
        <v>-59.44465096706409</v>
      </c>
      <c r="V497" s="14">
        <f t="shared" si="54"/>
        <v>4.312854338550665E-06</v>
      </c>
      <c r="W497" s="14">
        <f t="shared" si="55"/>
        <v>14.787980517343783</v>
      </c>
      <c r="X497" s="14">
        <f t="shared" si="56"/>
        <v>-4.022644400691888E-06</v>
      </c>
      <c r="Y497" s="14">
        <f t="shared" si="57"/>
        <v>-3.0305582399137165E-06</v>
      </c>
      <c r="Z497" s="15">
        <f t="shared" si="50"/>
        <v>-44.65667319006861</v>
      </c>
    </row>
    <row r="498" spans="18:26" ht="12">
      <c r="R498" s="13">
        <v>19287.04141549995</v>
      </c>
      <c r="S498" s="13">
        <f t="shared" si="51"/>
        <v>2.747937760563117</v>
      </c>
      <c r="T498" s="13">
        <f t="shared" si="52"/>
        <v>3.8470266747811603</v>
      </c>
      <c r="U498" s="14">
        <f t="shared" si="53"/>
        <v>-61.74067513644436</v>
      </c>
      <c r="V498" s="14">
        <f t="shared" si="54"/>
        <v>3.3112408761581946E-06</v>
      </c>
      <c r="W498" s="14">
        <f t="shared" si="55"/>
        <v>14.714286516355706</v>
      </c>
      <c r="X498" s="14">
        <f t="shared" si="56"/>
        <v>-3.088427309450026E-06</v>
      </c>
      <c r="Y498" s="14">
        <f t="shared" si="57"/>
        <v>-2.326719299006186E-06</v>
      </c>
      <c r="Z498" s="15">
        <f t="shared" si="50"/>
        <v>-47.02639072399438</v>
      </c>
    </row>
    <row r="499" spans="18:26" ht="12">
      <c r="R499" s="13">
        <v>19672.782243809947</v>
      </c>
      <c r="S499" s="13">
        <f t="shared" si="51"/>
        <v>2.802896515774379</v>
      </c>
      <c r="T499" s="13">
        <f t="shared" si="52"/>
        <v>3.886377370491205</v>
      </c>
      <c r="U499" s="14">
        <f t="shared" si="53"/>
        <v>-64.4125529819212</v>
      </c>
      <c r="V499" s="14">
        <f t="shared" si="54"/>
        <v>2.434561237052435E-06</v>
      </c>
      <c r="W499" s="14">
        <f t="shared" si="55"/>
        <v>14.648203832519387</v>
      </c>
      <c r="X499" s="14">
        <f t="shared" si="56"/>
        <v>-2.2707383706688233E-06</v>
      </c>
      <c r="Y499" s="14">
        <f t="shared" si="57"/>
        <v>-1.7106843017700157E-06</v>
      </c>
      <c r="Z499" s="15">
        <f t="shared" si="50"/>
        <v>-49.76435069626324</v>
      </c>
    </row>
    <row r="500" spans="18:26" ht="12">
      <c r="R500" s="13"/>
      <c r="S500" s="13"/>
      <c r="T500" s="13"/>
      <c r="U500" s="14"/>
      <c r="V500" s="14"/>
      <c r="W500" s="14"/>
      <c r="X500" s="14"/>
      <c r="Y500" s="14"/>
      <c r="Z500" s="15"/>
    </row>
    <row r="501" spans="18:26" ht="12">
      <c r="R501" s="13"/>
      <c r="S501" s="13"/>
      <c r="T501" s="13"/>
      <c r="U501" s="14"/>
      <c r="V501" s="14"/>
      <c r="W501" s="14"/>
      <c r="X501" s="14"/>
      <c r="Y501" s="14"/>
      <c r="Z501" s="15"/>
    </row>
    <row r="502" spans="18:26" ht="12">
      <c r="R502" s="13"/>
      <c r="S502" s="13"/>
      <c r="T502" s="13"/>
      <c r="U502" s="14"/>
      <c r="V502" s="14"/>
      <c r="W502" s="14"/>
      <c r="X502" s="14"/>
      <c r="Y502" s="14"/>
      <c r="Z502" s="15"/>
    </row>
    <row r="503" spans="18:26" ht="12">
      <c r="R503" s="13"/>
      <c r="S503" s="13"/>
      <c r="T503" s="13"/>
      <c r="U503" s="14"/>
      <c r="V503" s="14"/>
      <c r="W503" s="14"/>
      <c r="X503" s="14"/>
      <c r="Y503" s="14"/>
      <c r="Z503" s="15"/>
    </row>
    <row r="504" spans="18:26" ht="12">
      <c r="R504" s="13"/>
      <c r="S504" s="13"/>
      <c r="T504" s="13"/>
      <c r="U504" s="14"/>
      <c r="V504" s="14"/>
      <c r="W504" s="14"/>
      <c r="X504" s="14"/>
      <c r="Y504" s="14"/>
      <c r="Z504" s="15"/>
    </row>
    <row r="505" spans="18:26" ht="12">
      <c r="R505" s="13"/>
      <c r="S505" s="13"/>
      <c r="T505" s="13"/>
      <c r="U505" s="14"/>
      <c r="V505" s="14"/>
      <c r="W505" s="14"/>
      <c r="X505" s="14"/>
      <c r="Y505" s="14"/>
      <c r="Z505" s="15"/>
    </row>
    <row r="506" spans="18:26" ht="12">
      <c r="R506" s="13"/>
      <c r="S506" s="13"/>
      <c r="T506" s="13"/>
      <c r="U506" s="14"/>
      <c r="V506" s="14"/>
      <c r="W506" s="14"/>
      <c r="X506" s="14"/>
      <c r="Y506" s="14"/>
      <c r="Z506" s="15"/>
    </row>
    <row r="507" spans="18:26" ht="12">
      <c r="R507" s="13"/>
      <c r="S507" s="13"/>
      <c r="T507" s="13"/>
      <c r="U507" s="14"/>
      <c r="V507" s="14"/>
      <c r="W507" s="14"/>
      <c r="X507" s="14"/>
      <c r="Y507" s="14"/>
      <c r="Z507" s="15"/>
    </row>
    <row r="508" spans="18:26" ht="12">
      <c r="R508" s="13"/>
      <c r="S508" s="13"/>
      <c r="T508" s="13"/>
      <c r="U508" s="14"/>
      <c r="V508" s="14"/>
      <c r="W508" s="14"/>
      <c r="X508" s="14"/>
      <c r="Y508" s="14"/>
      <c r="Z508" s="15"/>
    </row>
    <row r="509" spans="18:26" ht="12">
      <c r="R509" s="13"/>
      <c r="S509" s="13"/>
      <c r="T509" s="13"/>
      <c r="U509" s="14"/>
      <c r="V509" s="14"/>
      <c r="W509" s="14"/>
      <c r="X509" s="14"/>
      <c r="Y509" s="14"/>
      <c r="Z509" s="15"/>
    </row>
    <row r="510" spans="18:26" ht="12">
      <c r="R510" s="13"/>
      <c r="S510" s="13"/>
      <c r="T510" s="13"/>
      <c r="U510" s="14"/>
      <c r="V510" s="14"/>
      <c r="W510" s="14"/>
      <c r="X510" s="14"/>
      <c r="Y510" s="14"/>
      <c r="Z510" s="15"/>
    </row>
    <row r="511" spans="18:26" ht="12">
      <c r="R511" s="13"/>
      <c r="S511" s="13"/>
      <c r="T511" s="13"/>
      <c r="U511" s="14"/>
      <c r="V511" s="14"/>
      <c r="W511" s="14"/>
      <c r="X511" s="14"/>
      <c r="Y511" s="14"/>
      <c r="Z511" s="15"/>
    </row>
    <row r="512" spans="18:26" ht="12">
      <c r="R512" s="13"/>
      <c r="S512" s="13"/>
      <c r="T512" s="13"/>
      <c r="U512" s="14"/>
      <c r="V512" s="14"/>
      <c r="W512" s="14"/>
      <c r="X512" s="14"/>
      <c r="Y512" s="14"/>
      <c r="Z512" s="15"/>
    </row>
    <row r="513" spans="18:26" ht="12">
      <c r="R513" s="13"/>
      <c r="S513" s="13"/>
      <c r="T513" s="13"/>
      <c r="U513" s="14"/>
      <c r="V513" s="14"/>
      <c r="W513" s="14"/>
      <c r="X513" s="14"/>
      <c r="Y513" s="14"/>
      <c r="Z513" s="15"/>
    </row>
    <row r="514" spans="18:26" ht="12">
      <c r="R514" s="13"/>
      <c r="S514" s="13"/>
      <c r="T514" s="13"/>
      <c r="U514" s="14"/>
      <c r="V514" s="14"/>
      <c r="W514" s="14"/>
      <c r="X514" s="14"/>
      <c r="Y514" s="14"/>
      <c r="Z514" s="15"/>
    </row>
    <row r="515" spans="18:26" ht="12">
      <c r="R515" s="13"/>
      <c r="S515" s="13"/>
      <c r="T515" s="13"/>
      <c r="U515" s="14"/>
      <c r="V515" s="14"/>
      <c r="W515" s="14"/>
      <c r="X515" s="14"/>
      <c r="Y515" s="14"/>
      <c r="Z515" s="15"/>
    </row>
    <row r="516" spans="18:26" ht="12">
      <c r="R516" s="13"/>
      <c r="S516" s="13"/>
      <c r="T516" s="13"/>
      <c r="U516" s="14"/>
      <c r="V516" s="14"/>
      <c r="W516" s="14"/>
      <c r="X516" s="14"/>
      <c r="Y516" s="14"/>
      <c r="Z516" s="15"/>
    </row>
    <row r="517" spans="18:26" ht="12">
      <c r="R517" s="13"/>
      <c r="S517" s="13"/>
      <c r="T517" s="13"/>
      <c r="U517" s="14"/>
      <c r="V517" s="14"/>
      <c r="W517" s="14"/>
      <c r="X517" s="14"/>
      <c r="Y517" s="14"/>
      <c r="Z517" s="15"/>
    </row>
    <row r="518" spans="18:26" ht="12">
      <c r="R518" s="13"/>
      <c r="S518" s="13"/>
      <c r="T518" s="13"/>
      <c r="U518" s="14"/>
      <c r="V518" s="14"/>
      <c r="W518" s="14"/>
      <c r="X518" s="14"/>
      <c r="Y518" s="14"/>
      <c r="Z518" s="15"/>
    </row>
    <row r="519" spans="18:26" ht="12">
      <c r="R519" s="13"/>
      <c r="S519" s="13"/>
      <c r="T519" s="13"/>
      <c r="U519" s="14"/>
      <c r="V519" s="14"/>
      <c r="W519" s="14"/>
      <c r="X519" s="14"/>
      <c r="Y519" s="14"/>
      <c r="Z519" s="15"/>
    </row>
    <row r="520" spans="18:26" ht="12">
      <c r="R520" s="13"/>
      <c r="S520" s="13"/>
      <c r="T520" s="13"/>
      <c r="U520" s="14"/>
      <c r="V520" s="14"/>
      <c r="W520" s="14"/>
      <c r="X520" s="14"/>
      <c r="Y520" s="14"/>
      <c r="Z520" s="15"/>
    </row>
    <row r="521" spans="18:26" ht="12">
      <c r="R521" s="13"/>
      <c r="S521" s="13"/>
      <c r="T521" s="13"/>
      <c r="U521" s="14"/>
      <c r="V521" s="14"/>
      <c r="W521" s="14"/>
      <c r="X521" s="14"/>
      <c r="Y521" s="14"/>
      <c r="Z521" s="15"/>
    </row>
    <row r="522" spans="18:26" ht="12">
      <c r="R522" s="13"/>
      <c r="S522" s="13"/>
      <c r="T522" s="13"/>
      <c r="U522" s="14"/>
      <c r="V522" s="14"/>
      <c r="W522" s="14"/>
      <c r="X522" s="14"/>
      <c r="Y522" s="14"/>
      <c r="Z522" s="15"/>
    </row>
    <row r="523" spans="18:26" ht="12">
      <c r="R523" s="13"/>
      <c r="S523" s="13"/>
      <c r="T523" s="13"/>
      <c r="U523" s="14"/>
      <c r="V523" s="14"/>
      <c r="W523" s="14"/>
      <c r="X523" s="14"/>
      <c r="Y523" s="14"/>
      <c r="Z523" s="15"/>
    </row>
    <row r="524" spans="18:26" ht="12">
      <c r="R524" s="13"/>
      <c r="S524" s="13"/>
      <c r="T524" s="13"/>
      <c r="U524" s="14"/>
      <c r="V524" s="14"/>
      <c r="W524" s="14"/>
      <c r="X524" s="14"/>
      <c r="Y524" s="14"/>
      <c r="Z524" s="15"/>
    </row>
    <row r="525" spans="18:26" ht="12">
      <c r="R525" s="13"/>
      <c r="S525" s="13"/>
      <c r="T525" s="13"/>
      <c r="U525" s="14"/>
      <c r="V525" s="14"/>
      <c r="W525" s="14"/>
      <c r="X525" s="14"/>
      <c r="Y525" s="14"/>
      <c r="Z525" s="15"/>
    </row>
    <row r="526" spans="18:26" ht="12">
      <c r="R526" s="13"/>
      <c r="S526" s="13"/>
      <c r="T526" s="13"/>
      <c r="U526" s="14"/>
      <c r="V526" s="14"/>
      <c r="W526" s="14"/>
      <c r="X526" s="14"/>
      <c r="Y526" s="14"/>
      <c r="Z526" s="15"/>
    </row>
    <row r="527" spans="18:26" ht="12">
      <c r="R527" s="13"/>
      <c r="S527" s="13"/>
      <c r="T527" s="13"/>
      <c r="U527" s="14"/>
      <c r="V527" s="14"/>
      <c r="W527" s="14"/>
      <c r="X527" s="14"/>
      <c r="Y527" s="14"/>
      <c r="Z527" s="15"/>
    </row>
    <row r="528" spans="18:26" ht="12">
      <c r="R528" s="13"/>
      <c r="S528" s="13"/>
      <c r="T528" s="13"/>
      <c r="U528" s="14"/>
      <c r="V528" s="14"/>
      <c r="W528" s="14"/>
      <c r="X528" s="14"/>
      <c r="Y528" s="14"/>
      <c r="Z528" s="15"/>
    </row>
    <row r="529" spans="18:26" ht="12">
      <c r="R529" s="13"/>
      <c r="S529" s="13"/>
      <c r="T529" s="13"/>
      <c r="U529" s="14"/>
      <c r="V529" s="14"/>
      <c r="W529" s="14"/>
      <c r="X529" s="14"/>
      <c r="Y529" s="14"/>
      <c r="Z529" s="15"/>
    </row>
    <row r="530" spans="18:26" ht="12">
      <c r="R530" s="13"/>
      <c r="S530" s="13"/>
      <c r="T530" s="13"/>
      <c r="U530" s="14"/>
      <c r="V530" s="14"/>
      <c r="W530" s="14"/>
      <c r="X530" s="14"/>
      <c r="Y530" s="14"/>
      <c r="Z530" s="15"/>
    </row>
    <row r="531" spans="18:26" ht="12">
      <c r="R531" s="13"/>
      <c r="S531" s="13"/>
      <c r="T531" s="13"/>
      <c r="U531" s="14"/>
      <c r="V531" s="14"/>
      <c r="W531" s="14"/>
      <c r="X531" s="14"/>
      <c r="Y531" s="14"/>
      <c r="Z531" s="15"/>
    </row>
    <row r="532" spans="18:26" ht="12">
      <c r="R532" s="13"/>
      <c r="S532" s="13"/>
      <c r="T532" s="13"/>
      <c r="U532" s="14"/>
      <c r="V532" s="14"/>
      <c r="W532" s="14"/>
      <c r="X532" s="14"/>
      <c r="Y532" s="14"/>
      <c r="Z532" s="15"/>
    </row>
    <row r="533" spans="18:26" ht="12">
      <c r="R533" s="13"/>
      <c r="S533" s="13"/>
      <c r="T533" s="13"/>
      <c r="U533" s="14"/>
      <c r="V533" s="14"/>
      <c r="W533" s="14"/>
      <c r="X533" s="14"/>
      <c r="Y533" s="14"/>
      <c r="Z533" s="15"/>
    </row>
    <row r="534" spans="18:26" ht="12">
      <c r="R534" s="13"/>
      <c r="S534" s="13"/>
      <c r="T534" s="13"/>
      <c r="U534" s="14"/>
      <c r="V534" s="14"/>
      <c r="W534" s="14"/>
      <c r="X534" s="14"/>
      <c r="Y534" s="14"/>
      <c r="Z534" s="15"/>
    </row>
    <row r="535" spans="18:26" ht="12">
      <c r="R535" s="13"/>
      <c r="S535" s="13"/>
      <c r="T535" s="13"/>
      <c r="U535" s="14"/>
      <c r="V535" s="14"/>
      <c r="W535" s="14"/>
      <c r="X535" s="14"/>
      <c r="Y535" s="14"/>
      <c r="Z535" s="15"/>
    </row>
    <row r="536" spans="18:26" ht="12">
      <c r="R536" s="13"/>
      <c r="S536" s="13"/>
      <c r="T536" s="13"/>
      <c r="U536" s="14"/>
      <c r="V536" s="14"/>
      <c r="W536" s="14"/>
      <c r="X536" s="14"/>
      <c r="Y536" s="14"/>
      <c r="Z536" s="15"/>
    </row>
    <row r="537" spans="18:26" ht="12">
      <c r="R537" s="13"/>
      <c r="S537" s="13"/>
      <c r="T537" s="13"/>
      <c r="U537" s="14"/>
      <c r="V537" s="14"/>
      <c r="W537" s="14"/>
      <c r="X537" s="14"/>
      <c r="Y537" s="14"/>
      <c r="Z537" s="15"/>
    </row>
    <row r="538" spans="18:26" ht="12">
      <c r="R538" s="13"/>
      <c r="S538" s="13"/>
      <c r="T538" s="13"/>
      <c r="U538" s="14"/>
      <c r="V538" s="14"/>
      <c r="W538" s="14"/>
      <c r="X538" s="14"/>
      <c r="Y538" s="14"/>
      <c r="Z538" s="15"/>
    </row>
    <row r="539" spans="18:26" ht="12">
      <c r="R539" s="13"/>
      <c r="S539" s="13"/>
      <c r="T539" s="13"/>
      <c r="U539" s="14"/>
      <c r="V539" s="14"/>
      <c r="W539" s="14"/>
      <c r="X539" s="14"/>
      <c r="Y539" s="14"/>
      <c r="Z539" s="15"/>
    </row>
    <row r="540" spans="18:26" ht="12">
      <c r="R540" s="13"/>
      <c r="S540" s="13"/>
      <c r="T540" s="13"/>
      <c r="U540" s="14"/>
      <c r="V540" s="14"/>
      <c r="W540" s="14"/>
      <c r="X540" s="14"/>
      <c r="Y540" s="14"/>
      <c r="Z540" s="15"/>
    </row>
    <row r="541" spans="18:26" ht="12">
      <c r="R541" s="13"/>
      <c r="S541" s="13"/>
      <c r="T541" s="13"/>
      <c r="U541" s="14"/>
      <c r="V541" s="14"/>
      <c r="W541" s="14"/>
      <c r="X541" s="14"/>
      <c r="Y541" s="14"/>
      <c r="Z541" s="15"/>
    </row>
    <row r="542" spans="18:26" ht="12">
      <c r="R542" s="13"/>
      <c r="S542" s="13"/>
      <c r="T542" s="13"/>
      <c r="U542" s="14"/>
      <c r="V542" s="14"/>
      <c r="W542" s="14"/>
      <c r="X542" s="14"/>
      <c r="Y542" s="14"/>
      <c r="Z542" s="15"/>
    </row>
    <row r="543" spans="18:26" ht="12">
      <c r="R543" s="13"/>
      <c r="S543" s="13"/>
      <c r="T543" s="13"/>
      <c r="U543" s="14"/>
      <c r="V543" s="14"/>
      <c r="W543" s="14"/>
      <c r="X543" s="14"/>
      <c r="Y543" s="14"/>
      <c r="Z543" s="15"/>
    </row>
    <row r="544" spans="18:26" ht="12">
      <c r="R544" s="13"/>
      <c r="S544" s="13"/>
      <c r="T544" s="13"/>
      <c r="U544" s="14"/>
      <c r="V544" s="14"/>
      <c r="W544" s="14"/>
      <c r="X544" s="14"/>
      <c r="Y544" s="14"/>
      <c r="Z544" s="15"/>
    </row>
    <row r="545" spans="18:26" ht="12">
      <c r="R545" s="13"/>
      <c r="S545" s="13"/>
      <c r="T545" s="13"/>
      <c r="U545" s="14"/>
      <c r="V545" s="14"/>
      <c r="W545" s="14"/>
      <c r="X545" s="14"/>
      <c r="Y545" s="14"/>
      <c r="Z545" s="15"/>
    </row>
    <row r="546" spans="18:26" ht="12">
      <c r="R546" s="13"/>
      <c r="S546" s="13"/>
      <c r="T546" s="13"/>
      <c r="U546" s="14"/>
      <c r="V546" s="14"/>
      <c r="W546" s="14"/>
      <c r="X546" s="14"/>
      <c r="Y546" s="14"/>
      <c r="Z546" s="15"/>
    </row>
    <row r="547" spans="18:26" ht="12">
      <c r="R547" s="13"/>
      <c r="S547" s="13"/>
      <c r="T547" s="13"/>
      <c r="U547" s="14"/>
      <c r="V547" s="14"/>
      <c r="W547" s="14"/>
      <c r="X547" s="14"/>
      <c r="Y547" s="14"/>
      <c r="Z547" s="15"/>
    </row>
    <row r="548" spans="18:26" ht="12">
      <c r="R548" s="13"/>
      <c r="S548" s="13"/>
      <c r="T548" s="13"/>
      <c r="U548" s="14"/>
      <c r="V548" s="14"/>
      <c r="W548" s="14"/>
      <c r="X548" s="14"/>
      <c r="Y548" s="14"/>
      <c r="Z548" s="15"/>
    </row>
    <row r="549" spans="18:26" ht="12">
      <c r="R549" s="13"/>
      <c r="S549" s="13"/>
      <c r="T549" s="13"/>
      <c r="U549" s="14"/>
      <c r="V549" s="14"/>
      <c r="W549" s="14"/>
      <c r="X549" s="14"/>
      <c r="Y549" s="14"/>
      <c r="Z549" s="15"/>
    </row>
    <row r="550" spans="18:26" ht="12">
      <c r="R550" s="13"/>
      <c r="S550" s="13"/>
      <c r="T550" s="13"/>
      <c r="U550" s="14"/>
      <c r="V550" s="14"/>
      <c r="W550" s="14"/>
      <c r="X550" s="14"/>
      <c r="Y550" s="14"/>
      <c r="Z550" s="15"/>
    </row>
    <row r="551" spans="18:26" ht="12">
      <c r="R551" s="13"/>
      <c r="S551" s="13"/>
      <c r="T551" s="13"/>
      <c r="U551" s="14"/>
      <c r="V551" s="14"/>
      <c r="W551" s="14"/>
      <c r="X551" s="14"/>
      <c r="Y551" s="14"/>
      <c r="Z551" s="15"/>
    </row>
    <row r="552" spans="18:26" ht="12">
      <c r="R552" s="13"/>
      <c r="S552" s="13"/>
      <c r="T552" s="13"/>
      <c r="U552" s="14"/>
      <c r="V552" s="14"/>
      <c r="W552" s="14"/>
      <c r="X552" s="14"/>
      <c r="Y552" s="14"/>
      <c r="Z552" s="15"/>
    </row>
    <row r="553" spans="18:26" ht="12">
      <c r="R553" s="13"/>
      <c r="S553" s="13"/>
      <c r="T553" s="13"/>
      <c r="U553" s="14"/>
      <c r="V553" s="14"/>
      <c r="W553" s="14"/>
      <c r="X553" s="14"/>
      <c r="Y553" s="14"/>
      <c r="Z553" s="15"/>
    </row>
    <row r="554" spans="18:26" ht="12">
      <c r="R554" s="13"/>
      <c r="S554" s="13"/>
      <c r="T554" s="13"/>
      <c r="U554" s="14"/>
      <c r="V554" s="14"/>
      <c r="W554" s="14"/>
      <c r="X554" s="14"/>
      <c r="Y554" s="14"/>
      <c r="Z554" s="15"/>
    </row>
    <row r="555" spans="18:26" ht="12">
      <c r="R555" s="13"/>
      <c r="S555" s="13"/>
      <c r="T555" s="13"/>
      <c r="U555" s="14"/>
      <c r="V555" s="14"/>
      <c r="W555" s="14"/>
      <c r="X555" s="14"/>
      <c r="Y555" s="14"/>
      <c r="Z555" s="15"/>
    </row>
    <row r="556" spans="18:26" ht="12">
      <c r="R556" s="13"/>
      <c r="S556" s="13"/>
      <c r="T556" s="13"/>
      <c r="U556" s="14"/>
      <c r="V556" s="14"/>
      <c r="W556" s="14"/>
      <c r="X556" s="14"/>
      <c r="Y556" s="14"/>
      <c r="Z556" s="15"/>
    </row>
    <row r="557" spans="18:26" ht="12">
      <c r="R557" s="13"/>
      <c r="S557" s="13"/>
      <c r="T557" s="13"/>
      <c r="U557" s="14"/>
      <c r="V557" s="14"/>
      <c r="W557" s="14"/>
      <c r="X557" s="14"/>
      <c r="Y557" s="14"/>
      <c r="Z557" s="15"/>
    </row>
    <row r="558" spans="18:26" ht="12">
      <c r="R558" s="13"/>
      <c r="S558" s="13"/>
      <c r="T558" s="13"/>
      <c r="U558" s="14"/>
      <c r="V558" s="14"/>
      <c r="W558" s="14"/>
      <c r="X558" s="14"/>
      <c r="Y558" s="14"/>
      <c r="Z558" s="15"/>
    </row>
    <row r="559" spans="18:26" ht="12">
      <c r="R559" s="13"/>
      <c r="S559" s="13"/>
      <c r="T559" s="13"/>
      <c r="U559" s="14"/>
      <c r="V559" s="14"/>
      <c r="W559" s="14"/>
      <c r="X559" s="14"/>
      <c r="Y559" s="14"/>
      <c r="Z559" s="15"/>
    </row>
    <row r="560" spans="18:26" ht="12">
      <c r="R560" s="13"/>
      <c r="S560" s="13"/>
      <c r="T560" s="13"/>
      <c r="U560" s="14"/>
      <c r="V560" s="14"/>
      <c r="W560" s="14"/>
      <c r="X560" s="14"/>
      <c r="Y560" s="14"/>
      <c r="Z560" s="15"/>
    </row>
    <row r="561" spans="18:26" ht="12">
      <c r="R561" s="13"/>
      <c r="S561" s="13"/>
      <c r="T561" s="13"/>
      <c r="U561" s="14"/>
      <c r="V561" s="14"/>
      <c r="W561" s="14"/>
      <c r="X561" s="14"/>
      <c r="Y561" s="14"/>
      <c r="Z561" s="15"/>
    </row>
    <row r="562" spans="18:26" ht="12">
      <c r="R562" s="13"/>
      <c r="S562" s="13"/>
      <c r="T562" s="13"/>
      <c r="U562" s="14"/>
      <c r="V562" s="14"/>
      <c r="W562" s="14"/>
      <c r="X562" s="14"/>
      <c r="Y562" s="14"/>
      <c r="Z562" s="15"/>
    </row>
    <row r="563" spans="18:26" ht="12">
      <c r="R563" s="13"/>
      <c r="S563" s="13"/>
      <c r="T563" s="13"/>
      <c r="U563" s="14"/>
      <c r="V563" s="14"/>
      <c r="W563" s="14"/>
      <c r="X563" s="14"/>
      <c r="Y563" s="14"/>
      <c r="Z563" s="15"/>
    </row>
    <row r="564" spans="18:26" ht="12">
      <c r="R564" s="13"/>
      <c r="S564" s="13"/>
      <c r="T564" s="13"/>
      <c r="U564" s="14"/>
      <c r="V564" s="14"/>
      <c r="W564" s="14"/>
      <c r="X564" s="14"/>
      <c r="Y564" s="14"/>
      <c r="Z564" s="15"/>
    </row>
    <row r="565" spans="18:26" ht="12">
      <c r="R565" s="13"/>
      <c r="S565" s="13"/>
      <c r="T565" s="13"/>
      <c r="U565" s="14"/>
      <c r="V565" s="14"/>
      <c r="W565" s="14"/>
      <c r="X565" s="14"/>
      <c r="Y565" s="14"/>
      <c r="Z565" s="15"/>
    </row>
    <row r="566" spans="18:26" ht="12">
      <c r="R566" s="13"/>
      <c r="S566" s="13"/>
      <c r="T566" s="13"/>
      <c r="U566" s="14"/>
      <c r="V566" s="14"/>
      <c r="W566" s="14"/>
      <c r="X566" s="14"/>
      <c r="Y566" s="14"/>
      <c r="Z566" s="15"/>
    </row>
    <row r="567" spans="18:26" ht="12">
      <c r="R567" s="13"/>
      <c r="S567" s="13"/>
      <c r="T567" s="13"/>
      <c r="U567" s="14"/>
      <c r="V567" s="14"/>
      <c r="W567" s="14"/>
      <c r="X567" s="14"/>
      <c r="Y567" s="14"/>
      <c r="Z567" s="15"/>
    </row>
    <row r="568" spans="18:26" ht="12">
      <c r="R568" s="13"/>
      <c r="S568" s="13"/>
      <c r="T568" s="13"/>
      <c r="U568" s="14"/>
      <c r="V568" s="14"/>
      <c r="W568" s="14"/>
      <c r="X568" s="14"/>
      <c r="Y568" s="14"/>
      <c r="Z568" s="15"/>
    </row>
    <row r="569" spans="18:26" ht="12">
      <c r="R569" s="13"/>
      <c r="S569" s="13"/>
      <c r="T569" s="13"/>
      <c r="U569" s="14"/>
      <c r="V569" s="14"/>
      <c r="W569" s="14"/>
      <c r="X569" s="14"/>
      <c r="Y569" s="14"/>
      <c r="Z569" s="15"/>
    </row>
    <row r="570" spans="18:26" ht="12">
      <c r="R570" s="13"/>
      <c r="S570" s="13"/>
      <c r="T570" s="13"/>
      <c r="U570" s="14"/>
      <c r="V570" s="14"/>
      <c r="W570" s="14"/>
      <c r="X570" s="14"/>
      <c r="Y570" s="14"/>
      <c r="Z570" s="15"/>
    </row>
    <row r="571" spans="18:26" ht="12">
      <c r="R571" s="13"/>
      <c r="S571" s="13"/>
      <c r="T571" s="13"/>
      <c r="U571" s="14"/>
      <c r="V571" s="14"/>
      <c r="W571" s="14"/>
      <c r="X571" s="14"/>
      <c r="Y571" s="14"/>
      <c r="Z571" s="15"/>
    </row>
    <row r="572" spans="18:26" ht="12">
      <c r="R572" s="13"/>
      <c r="S572" s="13"/>
      <c r="T572" s="13"/>
      <c r="U572" s="14"/>
      <c r="V572" s="14"/>
      <c r="W572" s="14"/>
      <c r="X572" s="14"/>
      <c r="Y572" s="14"/>
      <c r="Z572" s="15"/>
    </row>
    <row r="573" spans="18:26" ht="12">
      <c r="R573" s="13"/>
      <c r="S573" s="13"/>
      <c r="T573" s="13"/>
      <c r="U573" s="14"/>
      <c r="V573" s="14"/>
      <c r="W573" s="14"/>
      <c r="X573" s="14"/>
      <c r="Y573" s="14"/>
      <c r="Z573" s="15"/>
    </row>
    <row r="574" spans="18:26" ht="12">
      <c r="R574" s="13"/>
      <c r="S574" s="13"/>
      <c r="T574" s="13"/>
      <c r="U574" s="14"/>
      <c r="V574" s="14"/>
      <c r="W574" s="14"/>
      <c r="X574" s="14"/>
      <c r="Y574" s="14"/>
      <c r="Z574" s="15"/>
    </row>
    <row r="575" spans="18:26" ht="12">
      <c r="R575" s="13"/>
      <c r="S575" s="13"/>
      <c r="T575" s="13"/>
      <c r="U575" s="14"/>
      <c r="V575" s="14"/>
      <c r="W575" s="14"/>
      <c r="X575" s="14"/>
      <c r="Y575" s="14"/>
      <c r="Z575" s="15"/>
    </row>
    <row r="576" spans="18:26" ht="12">
      <c r="R576" s="13"/>
      <c r="S576" s="13"/>
      <c r="T576" s="13"/>
      <c r="U576" s="14"/>
      <c r="V576" s="14"/>
      <c r="W576" s="14"/>
      <c r="X576" s="14"/>
      <c r="Y576" s="14"/>
      <c r="Z576" s="15"/>
    </row>
    <row r="577" spans="18:26" ht="12">
      <c r="R577" s="13"/>
      <c r="S577" s="13"/>
      <c r="T577" s="13"/>
      <c r="U577" s="14"/>
      <c r="V577" s="14"/>
      <c r="W577" s="14"/>
      <c r="X577" s="14"/>
      <c r="Y577" s="14"/>
      <c r="Z577" s="15"/>
    </row>
    <row r="578" spans="18:26" ht="12">
      <c r="R578" s="13"/>
      <c r="S578" s="13"/>
      <c r="T578" s="13"/>
      <c r="U578" s="14"/>
      <c r="V578" s="14"/>
      <c r="W578" s="14"/>
      <c r="X578" s="14"/>
      <c r="Y578" s="14"/>
      <c r="Z578" s="15"/>
    </row>
    <row r="579" spans="18:26" ht="12">
      <c r="R579" s="13"/>
      <c r="S579" s="13"/>
      <c r="T579" s="13"/>
      <c r="U579" s="14"/>
      <c r="V579" s="14"/>
      <c r="W579" s="14"/>
      <c r="X579" s="14"/>
      <c r="Y579" s="14"/>
      <c r="Z579" s="15"/>
    </row>
    <row r="580" spans="18:26" ht="12">
      <c r="R580" s="13"/>
      <c r="S580" s="13"/>
      <c r="T580" s="13"/>
      <c r="U580" s="14"/>
      <c r="V580" s="14"/>
      <c r="W580" s="14"/>
      <c r="X580" s="14"/>
      <c r="Y580" s="14"/>
      <c r="Z580" s="15"/>
    </row>
    <row r="581" spans="18:26" ht="12">
      <c r="R581" s="13"/>
      <c r="S581" s="13"/>
      <c r="T581" s="13"/>
      <c r="U581" s="14"/>
      <c r="V581" s="14"/>
      <c r="W581" s="14"/>
      <c r="X581" s="14"/>
      <c r="Y581" s="14"/>
      <c r="Z581" s="15"/>
    </row>
    <row r="582" spans="18:26" ht="12">
      <c r="R582" s="13"/>
      <c r="S582" s="13"/>
      <c r="T582" s="13"/>
      <c r="U582" s="14"/>
      <c r="V582" s="14"/>
      <c r="W582" s="14"/>
      <c r="X582" s="14"/>
      <c r="Y582" s="14"/>
      <c r="Z582" s="15"/>
    </row>
    <row r="583" spans="18:26" ht="12">
      <c r="R583" s="13"/>
      <c r="S583" s="13"/>
      <c r="T583" s="13"/>
      <c r="U583" s="14"/>
      <c r="V583" s="14"/>
      <c r="W583" s="14"/>
      <c r="X583" s="14"/>
      <c r="Y583" s="14"/>
      <c r="Z583" s="15"/>
    </row>
    <row r="584" spans="18:26" ht="12">
      <c r="R584" s="13"/>
      <c r="S584" s="13"/>
      <c r="T584" s="13"/>
      <c r="U584" s="14"/>
      <c r="V584" s="14"/>
      <c r="W584" s="14"/>
      <c r="X584" s="14"/>
      <c r="Y584" s="14"/>
      <c r="Z584" s="15"/>
    </row>
    <row r="585" spans="18:26" ht="12">
      <c r="R585" s="13"/>
      <c r="S585" s="13"/>
      <c r="T585" s="13"/>
      <c r="U585" s="14"/>
      <c r="V585" s="14"/>
      <c r="W585" s="14"/>
      <c r="X585" s="14"/>
      <c r="Y585" s="14"/>
      <c r="Z585" s="15"/>
    </row>
    <row r="586" spans="18:26" ht="12">
      <c r="R586" s="13"/>
      <c r="S586" s="13"/>
      <c r="T586" s="13"/>
      <c r="U586" s="14"/>
      <c r="V586" s="14"/>
      <c r="W586" s="14"/>
      <c r="X586" s="14"/>
      <c r="Y586" s="14"/>
      <c r="Z586" s="15"/>
    </row>
    <row r="587" spans="18:26" ht="12">
      <c r="R587" s="13"/>
      <c r="S587" s="13"/>
      <c r="T587" s="13"/>
      <c r="U587" s="14"/>
      <c r="V587" s="14"/>
      <c r="W587" s="14"/>
      <c r="X587" s="14"/>
      <c r="Y587" s="14"/>
      <c r="Z587" s="15"/>
    </row>
    <row r="588" spans="18:26" ht="12">
      <c r="R588" s="13"/>
      <c r="S588" s="13"/>
      <c r="T588" s="13"/>
      <c r="U588" s="14"/>
      <c r="V588" s="14"/>
      <c r="W588" s="14"/>
      <c r="X588" s="14"/>
      <c r="Y588" s="14"/>
      <c r="Z588" s="15"/>
    </row>
    <row r="589" spans="18:26" ht="12">
      <c r="R589" s="13"/>
      <c r="S589" s="13"/>
      <c r="T589" s="13"/>
      <c r="U589" s="14"/>
      <c r="V589" s="14"/>
      <c r="W589" s="14"/>
      <c r="X589" s="14"/>
      <c r="Y589" s="14"/>
      <c r="Z589" s="15"/>
    </row>
    <row r="590" spans="18:26" ht="12">
      <c r="R590" s="13"/>
      <c r="S590" s="13"/>
      <c r="T590" s="13"/>
      <c r="U590" s="14"/>
      <c r="V590" s="14"/>
      <c r="W590" s="14"/>
      <c r="X590" s="14"/>
      <c r="Y590" s="14"/>
      <c r="Z590" s="15"/>
    </row>
    <row r="591" spans="18:26" ht="12">
      <c r="R591" s="13"/>
      <c r="S591" s="13"/>
      <c r="T591" s="13"/>
      <c r="U591" s="14"/>
      <c r="V591" s="14"/>
      <c r="W591" s="14"/>
      <c r="X591" s="14"/>
      <c r="Y591" s="14"/>
      <c r="Z591" s="15"/>
    </row>
    <row r="592" spans="18:26" ht="12">
      <c r="R592" s="13"/>
      <c r="S592" s="13"/>
      <c r="T592" s="13"/>
      <c r="U592" s="14"/>
      <c r="V592" s="14"/>
      <c r="W592" s="14"/>
      <c r="X592" s="14"/>
      <c r="Y592" s="14"/>
      <c r="Z592" s="15"/>
    </row>
    <row r="593" spans="18:26" ht="12">
      <c r="R593" s="13"/>
      <c r="S593" s="13"/>
      <c r="T593" s="13"/>
      <c r="U593" s="14"/>
      <c r="V593" s="14"/>
      <c r="W593" s="14"/>
      <c r="X593" s="14"/>
      <c r="Y593" s="14"/>
      <c r="Z593" s="15"/>
    </row>
    <row r="594" spans="18:26" ht="12">
      <c r="R594" s="13"/>
      <c r="S594" s="13"/>
      <c r="T594" s="13"/>
      <c r="U594" s="14"/>
      <c r="V594" s="14"/>
      <c r="W594" s="14"/>
      <c r="X594" s="14"/>
      <c r="Y594" s="14"/>
      <c r="Z594" s="15"/>
    </row>
    <row r="595" spans="18:26" ht="12">
      <c r="R595" s="13"/>
      <c r="S595" s="13"/>
      <c r="T595" s="13"/>
      <c r="U595" s="14"/>
      <c r="V595" s="14"/>
      <c r="W595" s="14"/>
      <c r="X595" s="14"/>
      <c r="Y595" s="14"/>
      <c r="Z595" s="15"/>
    </row>
    <row r="596" spans="18:26" ht="12">
      <c r="R596" s="13"/>
      <c r="S596" s="13"/>
      <c r="T596" s="13"/>
      <c r="U596" s="14"/>
      <c r="V596" s="14"/>
      <c r="W596" s="14"/>
      <c r="X596" s="14"/>
      <c r="Y596" s="14"/>
      <c r="Z596" s="15"/>
    </row>
    <row r="597" spans="18:26" ht="12">
      <c r="R597" s="13"/>
      <c r="S597" s="13"/>
      <c r="T597" s="13"/>
      <c r="U597" s="14"/>
      <c r="V597" s="14"/>
      <c r="W597" s="14"/>
      <c r="X597" s="14"/>
      <c r="Y597" s="14"/>
      <c r="Z597" s="15"/>
    </row>
    <row r="598" spans="18:26" ht="12">
      <c r="R598" s="13"/>
      <c r="S598" s="13"/>
      <c r="T598" s="13"/>
      <c r="U598" s="14"/>
      <c r="V598" s="14"/>
      <c r="W598" s="14"/>
      <c r="X598" s="14"/>
      <c r="Y598" s="14"/>
      <c r="Z598" s="15"/>
    </row>
    <row r="599" spans="18:26" ht="12">
      <c r="R599" s="13"/>
      <c r="S599" s="13"/>
      <c r="T599" s="13"/>
      <c r="U599" s="14"/>
      <c r="V599" s="14"/>
      <c r="W599" s="14"/>
      <c r="X599" s="14"/>
      <c r="Y599" s="14"/>
      <c r="Z599" s="15"/>
    </row>
    <row r="600" spans="18:26" ht="12">
      <c r="R600" s="13"/>
      <c r="S600" s="13"/>
      <c r="T600" s="13"/>
      <c r="U600" s="14"/>
      <c r="V600" s="14"/>
      <c r="W600" s="14"/>
      <c r="X600" s="14"/>
      <c r="Y600" s="14"/>
      <c r="Z600" s="15"/>
    </row>
    <row r="601" spans="18:26" ht="12">
      <c r="R601" s="13"/>
      <c r="S601" s="13"/>
      <c r="T601" s="13"/>
      <c r="U601" s="14"/>
      <c r="V601" s="14"/>
      <c r="W601" s="14"/>
      <c r="X601" s="14"/>
      <c r="Y601" s="14"/>
      <c r="Z601" s="15"/>
    </row>
    <row r="602" spans="18:26" ht="12">
      <c r="R602" s="13"/>
      <c r="S602" s="13"/>
      <c r="T602" s="13"/>
      <c r="U602" s="14"/>
      <c r="V602" s="14"/>
      <c r="W602" s="14"/>
      <c r="X602" s="14"/>
      <c r="Y602" s="14"/>
      <c r="Z602" s="15"/>
    </row>
    <row r="603" spans="18:26" ht="12">
      <c r="R603" s="13"/>
      <c r="S603" s="13"/>
      <c r="T603" s="13"/>
      <c r="U603" s="14"/>
      <c r="V603" s="14"/>
      <c r="W603" s="14"/>
      <c r="X603" s="14"/>
      <c r="Y603" s="14"/>
      <c r="Z603" s="15"/>
    </row>
    <row r="604" spans="18:26" ht="12">
      <c r="R604" s="13"/>
      <c r="S604" s="13"/>
      <c r="T604" s="13"/>
      <c r="U604" s="14"/>
      <c r="V604" s="14"/>
      <c r="W604" s="14"/>
      <c r="X604" s="14"/>
      <c r="Y604" s="14"/>
      <c r="Z604" s="15"/>
    </row>
    <row r="605" spans="18:26" ht="12">
      <c r="R605" s="13"/>
      <c r="S605" s="13"/>
      <c r="T605" s="13"/>
      <c r="U605" s="14"/>
      <c r="V605" s="14"/>
      <c r="W605" s="14"/>
      <c r="X605" s="14"/>
      <c r="Y605" s="14"/>
      <c r="Z605" s="15"/>
    </row>
    <row r="606" spans="18:26" ht="12">
      <c r="R606" s="13"/>
      <c r="S606" s="13"/>
      <c r="T606" s="13"/>
      <c r="U606" s="14"/>
      <c r="V606" s="14"/>
      <c r="W606" s="14"/>
      <c r="X606" s="14"/>
      <c r="Y606" s="14"/>
      <c r="Z606" s="15"/>
    </row>
    <row r="607" spans="18:26" ht="12">
      <c r="R607" s="13"/>
      <c r="S607" s="13"/>
      <c r="T607" s="13"/>
      <c r="U607" s="14"/>
      <c r="V607" s="14"/>
      <c r="W607" s="14"/>
      <c r="X607" s="14"/>
      <c r="Y607" s="14"/>
      <c r="Z607" s="15"/>
    </row>
    <row r="608" spans="18:26" ht="12">
      <c r="R608" s="13"/>
      <c r="S608" s="13"/>
      <c r="T608" s="13"/>
      <c r="U608" s="14"/>
      <c r="V608" s="14"/>
      <c r="W608" s="14"/>
      <c r="X608" s="14"/>
      <c r="Y608" s="14"/>
      <c r="Z608" s="15"/>
    </row>
    <row r="609" spans="18:26" ht="12">
      <c r="R609" s="13"/>
      <c r="S609" s="13"/>
      <c r="T609" s="13"/>
      <c r="U609" s="14"/>
      <c r="V609" s="14"/>
      <c r="W609" s="14"/>
      <c r="X609" s="14"/>
      <c r="Y609" s="14"/>
      <c r="Z609" s="15"/>
    </row>
    <row r="610" spans="18:26" ht="12">
      <c r="R610" s="13"/>
      <c r="S610" s="13"/>
      <c r="T610" s="13"/>
      <c r="U610" s="14"/>
      <c r="V610" s="14"/>
      <c r="W610" s="14"/>
      <c r="X610" s="14"/>
      <c r="Y610" s="14"/>
      <c r="Z610" s="15"/>
    </row>
    <row r="611" spans="18:26" ht="12">
      <c r="R611" s="13"/>
      <c r="S611" s="13"/>
      <c r="T611" s="13"/>
      <c r="U611" s="14"/>
      <c r="V611" s="14"/>
      <c r="W611" s="14"/>
      <c r="X611" s="14"/>
      <c r="Y611" s="14"/>
      <c r="Z611" s="15"/>
    </row>
    <row r="612" spans="18:26" ht="12">
      <c r="R612" s="13"/>
      <c r="S612" s="13"/>
      <c r="T612" s="13"/>
      <c r="U612" s="14"/>
      <c r="V612" s="14"/>
      <c r="W612" s="14"/>
      <c r="X612" s="14"/>
      <c r="Y612" s="14"/>
      <c r="Z612" s="15"/>
    </row>
    <row r="613" spans="18:26" ht="12">
      <c r="R613" s="13"/>
      <c r="S613" s="13"/>
      <c r="T613" s="13"/>
      <c r="U613" s="14"/>
      <c r="V613" s="14"/>
      <c r="W613" s="14"/>
      <c r="X613" s="14"/>
      <c r="Y613" s="14"/>
      <c r="Z613" s="15"/>
    </row>
    <row r="614" spans="18:26" ht="12">
      <c r="R614" s="13"/>
      <c r="S614" s="13"/>
      <c r="T614" s="13"/>
      <c r="U614" s="14"/>
      <c r="V614" s="14"/>
      <c r="W614" s="14"/>
      <c r="X614" s="14"/>
      <c r="Y614" s="14"/>
      <c r="Z614" s="15"/>
    </row>
    <row r="615" spans="18:26" ht="12">
      <c r="R615" s="13"/>
      <c r="S615" s="13"/>
      <c r="T615" s="13"/>
      <c r="U615" s="14"/>
      <c r="V615" s="14"/>
      <c r="W615" s="14"/>
      <c r="X615" s="14"/>
      <c r="Y615" s="14"/>
      <c r="Z615" s="15"/>
    </row>
    <row r="616" spans="18:26" ht="12">
      <c r="R616" s="13"/>
      <c r="S616" s="13"/>
      <c r="T616" s="13"/>
      <c r="U616" s="14"/>
      <c r="V616" s="14"/>
      <c r="W616" s="14"/>
      <c r="X616" s="14"/>
      <c r="Y616" s="14"/>
      <c r="Z616" s="15"/>
    </row>
    <row r="617" spans="18:26" ht="12">
      <c r="R617" s="13"/>
      <c r="S617" s="13"/>
      <c r="T617" s="13"/>
      <c r="U617" s="14"/>
      <c r="V617" s="14"/>
      <c r="W617" s="14"/>
      <c r="X617" s="14"/>
      <c r="Y617" s="14"/>
      <c r="Z617" s="15"/>
    </row>
    <row r="618" spans="18:26" ht="12">
      <c r="R618" s="13"/>
      <c r="S618" s="13"/>
      <c r="T618" s="13"/>
      <c r="U618" s="14"/>
      <c r="V618" s="14"/>
      <c r="W618" s="14"/>
      <c r="X618" s="14"/>
      <c r="Y618" s="14"/>
      <c r="Z618" s="15"/>
    </row>
    <row r="619" spans="18:26" ht="12">
      <c r="R619" s="13"/>
      <c r="S619" s="13"/>
      <c r="T619" s="13"/>
      <c r="U619" s="14"/>
      <c r="V619" s="14"/>
      <c r="W619" s="14"/>
      <c r="X619" s="14"/>
      <c r="Y619" s="14"/>
      <c r="Z619" s="15"/>
    </row>
    <row r="620" spans="18:26" ht="12">
      <c r="R620" s="13"/>
      <c r="S620" s="13"/>
      <c r="T620" s="13"/>
      <c r="U620" s="14"/>
      <c r="V620" s="14"/>
      <c r="W620" s="14"/>
      <c r="X620" s="14"/>
      <c r="Y620" s="14"/>
      <c r="Z620" s="15"/>
    </row>
    <row r="621" spans="18:26" ht="12">
      <c r="R621" s="13"/>
      <c r="S621" s="13"/>
      <c r="T621" s="13"/>
      <c r="U621" s="14"/>
      <c r="V621" s="14"/>
      <c r="W621" s="14"/>
      <c r="X621" s="14"/>
      <c r="Y621" s="14"/>
      <c r="Z621" s="15"/>
    </row>
    <row r="622" spans="18:26" ht="12">
      <c r="R622" s="13"/>
      <c r="S622" s="13"/>
      <c r="T622" s="13"/>
      <c r="U622" s="14"/>
      <c r="V622" s="14"/>
      <c r="W622" s="14"/>
      <c r="X622" s="14"/>
      <c r="Y622" s="14"/>
      <c r="Z622" s="15"/>
    </row>
    <row r="623" spans="18:26" ht="12">
      <c r="R623" s="13"/>
      <c r="S623" s="13"/>
      <c r="T623" s="13"/>
      <c r="U623" s="14"/>
      <c r="V623" s="14"/>
      <c r="W623" s="14"/>
      <c r="X623" s="14"/>
      <c r="Y623" s="14"/>
      <c r="Z623" s="15"/>
    </row>
    <row r="624" spans="18:26" ht="12">
      <c r="R624" s="13"/>
      <c r="S624" s="13"/>
      <c r="T624" s="13"/>
      <c r="U624" s="14"/>
      <c r="V624" s="14"/>
      <c r="W624" s="14"/>
      <c r="X624" s="14"/>
      <c r="Y624" s="14"/>
      <c r="Z624" s="15"/>
    </row>
    <row r="625" spans="18:26" ht="12">
      <c r="R625" s="13"/>
      <c r="S625" s="13"/>
      <c r="T625" s="13"/>
      <c r="U625" s="14"/>
      <c r="V625" s="14"/>
      <c r="W625" s="14"/>
      <c r="X625" s="14"/>
      <c r="Y625" s="14"/>
      <c r="Z625" s="15"/>
    </row>
    <row r="626" spans="18:26" ht="12">
      <c r="R626" s="13"/>
      <c r="S626" s="13"/>
      <c r="T626" s="13"/>
      <c r="U626" s="14"/>
      <c r="V626" s="14"/>
      <c r="W626" s="14"/>
      <c r="X626" s="14"/>
      <c r="Y626" s="14"/>
      <c r="Z626" s="15"/>
    </row>
    <row r="627" spans="18:26" ht="12">
      <c r="R627" s="13"/>
      <c r="S627" s="13"/>
      <c r="T627" s="13"/>
      <c r="U627" s="14"/>
      <c r="V627" s="14"/>
      <c r="W627" s="14"/>
      <c r="X627" s="14"/>
      <c r="Y627" s="14"/>
      <c r="Z627" s="15"/>
    </row>
    <row r="628" spans="18:26" ht="12">
      <c r="R628" s="13"/>
      <c r="S628" s="13"/>
      <c r="T628" s="13"/>
      <c r="U628" s="14"/>
      <c r="V628" s="14"/>
      <c r="W628" s="14"/>
      <c r="X628" s="14"/>
      <c r="Y628" s="14"/>
      <c r="Z628" s="15"/>
    </row>
    <row r="629" spans="18:26" ht="12">
      <c r="R629" s="13"/>
      <c r="S629" s="13"/>
      <c r="T629" s="13"/>
      <c r="U629" s="14"/>
      <c r="V629" s="14"/>
      <c r="W629" s="14"/>
      <c r="X629" s="14"/>
      <c r="Y629" s="14"/>
      <c r="Z629" s="15"/>
    </row>
    <row r="630" spans="18:26" ht="12">
      <c r="R630" s="13"/>
      <c r="S630" s="13"/>
      <c r="T630" s="13"/>
      <c r="U630" s="14"/>
      <c r="V630" s="14"/>
      <c r="W630" s="14"/>
      <c r="X630" s="14"/>
      <c r="Y630" s="14"/>
      <c r="Z630" s="15"/>
    </row>
    <row r="631" spans="18:26" ht="12">
      <c r="R631" s="13"/>
      <c r="S631" s="13"/>
      <c r="T631" s="13"/>
      <c r="U631" s="14"/>
      <c r="V631" s="14"/>
      <c r="W631" s="14"/>
      <c r="X631" s="14"/>
      <c r="Y631" s="14"/>
      <c r="Z631" s="15"/>
    </row>
    <row r="632" spans="18:26" ht="12">
      <c r="R632" s="13"/>
      <c r="S632" s="13"/>
      <c r="T632" s="13"/>
      <c r="U632" s="14"/>
      <c r="V632" s="14"/>
      <c r="W632" s="14"/>
      <c r="X632" s="14"/>
      <c r="Y632" s="14"/>
      <c r="Z632" s="15"/>
    </row>
    <row r="633" spans="18:26" ht="12">
      <c r="R633" s="13"/>
      <c r="S633" s="13"/>
      <c r="T633" s="13"/>
      <c r="U633" s="14"/>
      <c r="V633" s="14"/>
      <c r="W633" s="14"/>
      <c r="X633" s="14"/>
      <c r="Y633" s="14"/>
      <c r="Z633" s="15"/>
    </row>
    <row r="634" spans="18:26" ht="12">
      <c r="R634" s="13"/>
      <c r="S634" s="13"/>
      <c r="T634" s="13"/>
      <c r="U634" s="14"/>
      <c r="V634" s="14"/>
      <c r="W634" s="14"/>
      <c r="X634" s="14"/>
      <c r="Y634" s="14"/>
      <c r="Z634" s="15"/>
    </row>
    <row r="635" spans="18:26" ht="12">
      <c r="R635" s="13"/>
      <c r="S635" s="13"/>
      <c r="T635" s="13"/>
      <c r="U635" s="14"/>
      <c r="V635" s="14"/>
      <c r="W635" s="14"/>
      <c r="X635" s="14"/>
      <c r="Y635" s="14"/>
      <c r="Z635" s="15"/>
    </row>
    <row r="636" spans="18:26" ht="12">
      <c r="R636" s="13"/>
      <c r="S636" s="13"/>
      <c r="T636" s="13"/>
      <c r="U636" s="14"/>
      <c r="V636" s="14"/>
      <c r="W636" s="14"/>
      <c r="X636" s="14"/>
      <c r="Y636" s="14"/>
      <c r="Z636" s="15"/>
    </row>
    <row r="637" spans="18:26" ht="12">
      <c r="R637" s="13"/>
      <c r="S637" s="13"/>
      <c r="T637" s="13"/>
      <c r="U637" s="14"/>
      <c r="V637" s="14"/>
      <c r="W637" s="14"/>
      <c r="X637" s="14"/>
      <c r="Y637" s="14"/>
      <c r="Z637" s="15"/>
    </row>
    <row r="638" spans="18:26" ht="12">
      <c r="R638" s="13"/>
      <c r="S638" s="13"/>
      <c r="T638" s="13"/>
      <c r="U638" s="14"/>
      <c r="V638" s="14"/>
      <c r="W638" s="14"/>
      <c r="X638" s="14"/>
      <c r="Y638" s="14"/>
      <c r="Z638" s="15"/>
    </row>
    <row r="639" spans="18:26" ht="12">
      <c r="R639" s="13"/>
      <c r="S639" s="13"/>
      <c r="T639" s="13"/>
      <c r="U639" s="14"/>
      <c r="V639" s="14"/>
      <c r="W639" s="14"/>
      <c r="X639" s="14"/>
      <c r="Y639" s="14"/>
      <c r="Z639" s="15"/>
    </row>
    <row r="640" spans="18:26" ht="12">
      <c r="R640" s="13"/>
      <c r="S640" s="13"/>
      <c r="T640" s="13"/>
      <c r="U640" s="14"/>
      <c r="V640" s="14"/>
      <c r="W640" s="14"/>
      <c r="X640" s="14"/>
      <c r="Y640" s="14"/>
      <c r="Z640" s="15"/>
    </row>
    <row r="641" spans="18:26" ht="12">
      <c r="R641" s="13"/>
      <c r="S641" s="13"/>
      <c r="T641" s="13"/>
      <c r="U641" s="14"/>
      <c r="V641" s="14"/>
      <c r="W641" s="14"/>
      <c r="X641" s="14"/>
      <c r="Y641" s="14"/>
      <c r="Z641" s="15"/>
    </row>
    <row r="642" spans="18:26" ht="12">
      <c r="R642" s="13"/>
      <c r="S642" s="13"/>
      <c r="T642" s="13"/>
      <c r="U642" s="14"/>
      <c r="V642" s="14"/>
      <c r="W642" s="14"/>
      <c r="X642" s="14"/>
      <c r="Y642" s="14"/>
      <c r="Z642" s="15"/>
    </row>
    <row r="643" spans="18:26" ht="12">
      <c r="R643" s="13"/>
      <c r="S643" s="13"/>
      <c r="T643" s="13"/>
      <c r="U643" s="14"/>
      <c r="V643" s="14"/>
      <c r="W643" s="14"/>
      <c r="X643" s="14"/>
      <c r="Y643" s="14"/>
      <c r="Z643" s="15"/>
    </row>
    <row r="644" spans="18:26" ht="12">
      <c r="R644" s="13"/>
      <c r="S644" s="13"/>
      <c r="T644" s="13"/>
      <c r="U644" s="14"/>
      <c r="V644" s="14"/>
      <c r="W644" s="14"/>
      <c r="X644" s="14"/>
      <c r="Y644" s="14"/>
      <c r="Z644" s="15"/>
    </row>
    <row r="645" spans="18:26" ht="12">
      <c r="R645" s="13"/>
      <c r="S645" s="13"/>
      <c r="T645" s="13"/>
      <c r="U645" s="14"/>
      <c r="V645" s="14"/>
      <c r="W645" s="14"/>
      <c r="X645" s="14"/>
      <c r="Y645" s="14"/>
      <c r="Z645" s="15"/>
    </row>
    <row r="646" spans="18:26" ht="12">
      <c r="R646" s="13"/>
      <c r="S646" s="13"/>
      <c r="T646" s="13"/>
      <c r="U646" s="14"/>
      <c r="V646" s="14"/>
      <c r="W646" s="14"/>
      <c r="X646" s="14"/>
      <c r="Y646" s="14"/>
      <c r="Z646" s="15"/>
    </row>
    <row r="647" spans="18:26" ht="12">
      <c r="R647" s="13"/>
      <c r="S647" s="13"/>
      <c r="T647" s="13"/>
      <c r="U647" s="14"/>
      <c r="V647" s="14"/>
      <c r="W647" s="14"/>
      <c r="X647" s="14"/>
      <c r="Y647" s="14"/>
      <c r="Z647" s="15"/>
    </row>
    <row r="648" spans="18:26" ht="12">
      <c r="R648" s="13"/>
      <c r="S648" s="13"/>
      <c r="T648" s="13"/>
      <c r="U648" s="14"/>
      <c r="V648" s="14"/>
      <c r="W648" s="14"/>
      <c r="X648" s="14"/>
      <c r="Y648" s="14"/>
      <c r="Z648" s="15"/>
    </row>
    <row r="649" spans="18:26" ht="12">
      <c r="R649" s="13"/>
      <c r="S649" s="13"/>
      <c r="T649" s="13"/>
      <c r="U649" s="14"/>
      <c r="V649" s="14"/>
      <c r="W649" s="14"/>
      <c r="X649" s="14"/>
      <c r="Y649" s="14"/>
      <c r="Z649" s="15"/>
    </row>
    <row r="650" spans="18:26" ht="12">
      <c r="R650" s="13"/>
      <c r="S650" s="13"/>
      <c r="T650" s="13"/>
      <c r="U650" s="14"/>
      <c r="V650" s="14"/>
      <c r="W650" s="14"/>
      <c r="X650" s="14"/>
      <c r="Y650" s="14"/>
      <c r="Z650" s="15"/>
    </row>
    <row r="651" spans="18:26" ht="12">
      <c r="R651" s="13"/>
      <c r="S651" s="13"/>
      <c r="T651" s="13"/>
      <c r="U651" s="14"/>
      <c r="V651" s="14"/>
      <c r="W651" s="14"/>
      <c r="X651" s="14"/>
      <c r="Y651" s="14"/>
      <c r="Z651" s="15"/>
    </row>
    <row r="652" spans="18:26" ht="12">
      <c r="R652" s="13"/>
      <c r="S652" s="13"/>
      <c r="T652" s="13"/>
      <c r="U652" s="14"/>
      <c r="V652" s="14"/>
      <c r="W652" s="14"/>
      <c r="X652" s="14"/>
      <c r="Y652" s="14"/>
      <c r="Z652" s="15"/>
    </row>
    <row r="653" spans="18:26" ht="12">
      <c r="R653" s="13"/>
      <c r="S653" s="13"/>
      <c r="T653" s="13"/>
      <c r="U653" s="14"/>
      <c r="V653" s="14"/>
      <c r="W653" s="14"/>
      <c r="X653" s="14"/>
      <c r="Y653" s="14"/>
      <c r="Z653" s="15"/>
    </row>
    <row r="654" spans="18:26" ht="12">
      <c r="R654" s="13"/>
      <c r="S654" s="13"/>
      <c r="T654" s="13"/>
      <c r="U654" s="14"/>
      <c r="V654" s="14"/>
      <c r="W654" s="14"/>
      <c r="X654" s="14"/>
      <c r="Y654" s="14"/>
      <c r="Z654" s="15"/>
    </row>
    <row r="655" spans="18:26" ht="12">
      <c r="R655" s="13"/>
      <c r="S655" s="13"/>
      <c r="T655" s="13"/>
      <c r="U655" s="14"/>
      <c r="V655" s="14"/>
      <c r="W655" s="14"/>
      <c r="X655" s="14"/>
      <c r="Y655" s="14"/>
      <c r="Z655" s="15"/>
    </row>
    <row r="656" spans="18:26" ht="12">
      <c r="R656" s="13"/>
      <c r="S656" s="13"/>
      <c r="T656" s="13"/>
      <c r="U656" s="14"/>
      <c r="V656" s="14"/>
      <c r="W656" s="14"/>
      <c r="X656" s="14"/>
      <c r="Y656" s="14"/>
      <c r="Z656" s="15"/>
    </row>
    <row r="657" spans="18:26" ht="12">
      <c r="R657" s="13"/>
      <c r="S657" s="13"/>
      <c r="T657" s="13"/>
      <c r="U657" s="14"/>
      <c r="V657" s="14"/>
      <c r="W657" s="14"/>
      <c r="X657" s="14"/>
      <c r="Y657" s="14"/>
      <c r="Z657" s="15"/>
    </row>
    <row r="658" spans="18:26" ht="12">
      <c r="R658" s="13"/>
      <c r="S658" s="13"/>
      <c r="T658" s="13"/>
      <c r="U658" s="14"/>
      <c r="V658" s="14"/>
      <c r="W658" s="14"/>
      <c r="X658" s="14"/>
      <c r="Y658" s="14"/>
      <c r="Z658" s="15"/>
    </row>
    <row r="659" spans="18:26" ht="12">
      <c r="R659" s="13"/>
      <c r="S659" s="13"/>
      <c r="T659" s="13"/>
      <c r="U659" s="14"/>
      <c r="V659" s="14"/>
      <c r="W659" s="14"/>
      <c r="X659" s="14"/>
      <c r="Y659" s="14"/>
      <c r="Z659" s="15"/>
    </row>
    <row r="660" spans="18:26" ht="12">
      <c r="R660" s="13"/>
      <c r="S660" s="13"/>
      <c r="T660" s="13"/>
      <c r="U660" s="14"/>
      <c r="V660" s="14"/>
      <c r="W660" s="14"/>
      <c r="X660" s="14"/>
      <c r="Y660" s="14"/>
      <c r="Z660" s="15"/>
    </row>
    <row r="661" spans="18:26" ht="12">
      <c r="R661" s="13"/>
      <c r="S661" s="13"/>
      <c r="T661" s="13"/>
      <c r="U661" s="14"/>
      <c r="V661" s="14"/>
      <c r="W661" s="14"/>
      <c r="X661" s="14"/>
      <c r="Y661" s="14"/>
      <c r="Z661" s="15"/>
    </row>
    <row r="662" spans="18:26" ht="12">
      <c r="R662" s="13"/>
      <c r="S662" s="13"/>
      <c r="T662" s="13"/>
      <c r="U662" s="14"/>
      <c r="V662" s="14"/>
      <c r="W662" s="14"/>
      <c r="X662" s="14"/>
      <c r="Y662" s="14"/>
      <c r="Z662" s="15"/>
    </row>
    <row r="663" spans="18:26" ht="12">
      <c r="R663" s="13"/>
      <c r="S663" s="13"/>
      <c r="T663" s="13"/>
      <c r="U663" s="14"/>
      <c r="V663" s="14"/>
      <c r="W663" s="14"/>
      <c r="X663" s="14"/>
      <c r="Y663" s="14"/>
      <c r="Z663" s="15"/>
    </row>
    <row r="664" spans="18:26" ht="12">
      <c r="R664" s="13"/>
      <c r="S664" s="13"/>
      <c r="T664" s="13"/>
      <c r="U664" s="14"/>
      <c r="V664" s="14"/>
      <c r="W664" s="14"/>
      <c r="X664" s="14"/>
      <c r="Y664" s="14"/>
      <c r="Z664" s="15"/>
    </row>
    <row r="665" spans="18:26" ht="12">
      <c r="R665" s="13"/>
      <c r="S665" s="13"/>
      <c r="T665" s="13"/>
      <c r="U665" s="14"/>
      <c r="V665" s="14"/>
      <c r="W665" s="14"/>
      <c r="X665" s="14"/>
      <c r="Y665" s="14"/>
      <c r="Z665" s="15"/>
    </row>
    <row r="666" spans="18:26" ht="12">
      <c r="R666" s="13"/>
      <c r="S666" s="13"/>
      <c r="T666" s="13"/>
      <c r="U666" s="14"/>
      <c r="V666" s="14"/>
      <c r="W666" s="14"/>
      <c r="X666" s="14"/>
      <c r="Y666" s="14"/>
      <c r="Z666" s="15"/>
    </row>
    <row r="667" spans="18:26" ht="12">
      <c r="R667" s="13"/>
      <c r="S667" s="13"/>
      <c r="T667" s="13"/>
      <c r="U667" s="14"/>
      <c r="V667" s="14"/>
      <c r="W667" s="14"/>
      <c r="X667" s="14"/>
      <c r="Y667" s="14"/>
      <c r="Z667" s="15"/>
    </row>
    <row r="668" spans="18:26" ht="12">
      <c r="R668" s="13"/>
      <c r="S668" s="13"/>
      <c r="T668" s="13"/>
      <c r="U668" s="14"/>
      <c r="V668" s="14"/>
      <c r="W668" s="14"/>
      <c r="X668" s="14"/>
      <c r="Y668" s="14"/>
      <c r="Z668" s="15"/>
    </row>
    <row r="669" spans="18:26" ht="12">
      <c r="R669" s="13"/>
      <c r="S669" s="13"/>
      <c r="T669" s="13"/>
      <c r="U669" s="14"/>
      <c r="V669" s="14"/>
      <c r="W669" s="14"/>
      <c r="X669" s="14"/>
      <c r="Y669" s="14"/>
      <c r="Z669" s="15"/>
    </row>
    <row r="670" spans="18:26" ht="12">
      <c r="R670" s="13"/>
      <c r="S670" s="13"/>
      <c r="T670" s="13"/>
      <c r="U670" s="14"/>
      <c r="V670" s="14"/>
      <c r="W670" s="14"/>
      <c r="X670" s="14"/>
      <c r="Y670" s="14"/>
      <c r="Z670" s="15"/>
    </row>
    <row r="671" spans="18:26" ht="12">
      <c r="R671" s="13"/>
      <c r="S671" s="13"/>
      <c r="T671" s="13"/>
      <c r="U671" s="14"/>
      <c r="V671" s="14"/>
      <c r="W671" s="14"/>
      <c r="X671" s="14"/>
      <c r="Y671" s="14"/>
      <c r="Z671" s="15"/>
    </row>
    <row r="672" spans="18:26" ht="12">
      <c r="R672" s="13"/>
      <c r="S672" s="13"/>
      <c r="T672" s="13"/>
      <c r="U672" s="14"/>
      <c r="V672" s="14"/>
      <c r="W672" s="14"/>
      <c r="X672" s="14"/>
      <c r="Y672" s="14"/>
      <c r="Z672" s="15"/>
    </row>
    <row r="673" spans="18:26" ht="12">
      <c r="R673" s="13"/>
      <c r="S673" s="13"/>
      <c r="T673" s="13"/>
      <c r="U673" s="14"/>
      <c r="V673" s="14"/>
      <c r="W673" s="14"/>
      <c r="X673" s="14"/>
      <c r="Y673" s="14"/>
      <c r="Z673" s="15"/>
    </row>
    <row r="674" spans="18:26" ht="12">
      <c r="R674" s="13"/>
      <c r="S674" s="13"/>
      <c r="T674" s="13"/>
      <c r="U674" s="14"/>
      <c r="V674" s="14"/>
      <c r="W674" s="14"/>
      <c r="X674" s="14"/>
      <c r="Y674" s="14"/>
      <c r="Z674" s="15"/>
    </row>
    <row r="675" spans="18:26" ht="12">
      <c r="R675" s="13"/>
      <c r="S675" s="13"/>
      <c r="T675" s="13"/>
      <c r="U675" s="14"/>
      <c r="V675" s="14"/>
      <c r="W675" s="14"/>
      <c r="X675" s="14"/>
      <c r="Y675" s="14"/>
      <c r="Z675" s="15"/>
    </row>
    <row r="676" spans="18:26" ht="12">
      <c r="R676" s="13"/>
      <c r="S676" s="13"/>
      <c r="T676" s="13"/>
      <c r="U676" s="14"/>
      <c r="V676" s="14"/>
      <c r="W676" s="14"/>
      <c r="X676" s="14"/>
      <c r="Y676" s="14"/>
      <c r="Z676" s="15"/>
    </row>
    <row r="677" spans="18:26" ht="12">
      <c r="R677" s="13"/>
      <c r="S677" s="13"/>
      <c r="T677" s="13"/>
      <c r="U677" s="14"/>
      <c r="V677" s="14"/>
      <c r="W677" s="14"/>
      <c r="X677" s="14"/>
      <c r="Y677" s="14"/>
      <c r="Z677" s="15"/>
    </row>
    <row r="678" spans="18:26" ht="12">
      <c r="R678" s="13"/>
      <c r="S678" s="13"/>
      <c r="T678" s="13"/>
      <c r="U678" s="14"/>
      <c r="V678" s="14"/>
      <c r="W678" s="14"/>
      <c r="X678" s="14"/>
      <c r="Y678" s="14"/>
      <c r="Z678" s="15"/>
    </row>
    <row r="679" spans="18:26" ht="12">
      <c r="R679" s="13"/>
      <c r="S679" s="13"/>
      <c r="T679" s="13"/>
      <c r="U679" s="14"/>
      <c r="V679" s="14"/>
      <c r="W679" s="14"/>
      <c r="X679" s="14"/>
      <c r="Y679" s="14"/>
      <c r="Z679" s="15"/>
    </row>
    <row r="680" spans="18:26" ht="12">
      <c r="R680" s="13"/>
      <c r="S680" s="13"/>
      <c r="T680" s="13"/>
      <c r="U680" s="14"/>
      <c r="V680" s="14"/>
      <c r="W680" s="14"/>
      <c r="X680" s="14"/>
      <c r="Y680" s="14"/>
      <c r="Z680" s="15"/>
    </row>
    <row r="681" spans="18:26" ht="12">
      <c r="R681" s="13"/>
      <c r="S681" s="13"/>
      <c r="T681" s="13"/>
      <c r="U681" s="14"/>
      <c r="V681" s="14"/>
      <c r="W681" s="14"/>
      <c r="X681" s="14"/>
      <c r="Y681" s="14"/>
      <c r="Z681" s="15"/>
    </row>
    <row r="682" spans="18:26" ht="12">
      <c r="R682" s="13"/>
      <c r="S682" s="13"/>
      <c r="T682" s="13"/>
      <c r="U682" s="14"/>
      <c r="V682" s="14"/>
      <c r="W682" s="14"/>
      <c r="X682" s="14"/>
      <c r="Y682" s="14"/>
      <c r="Z682" s="15"/>
    </row>
    <row r="683" spans="18:26" ht="12">
      <c r="R683" s="13"/>
      <c r="S683" s="13"/>
      <c r="T683" s="13"/>
      <c r="U683" s="14"/>
      <c r="V683" s="14"/>
      <c r="W683" s="14"/>
      <c r="X683" s="14"/>
      <c r="Y683" s="14"/>
      <c r="Z683" s="15"/>
    </row>
    <row r="684" spans="18:26" ht="12">
      <c r="R684" s="13"/>
      <c r="S684" s="13"/>
      <c r="T684" s="13"/>
      <c r="U684" s="14"/>
      <c r="V684" s="14"/>
      <c r="W684" s="14"/>
      <c r="X684" s="14"/>
      <c r="Y684" s="14"/>
      <c r="Z684" s="15"/>
    </row>
    <row r="685" spans="18:26" ht="12">
      <c r="R685" s="13"/>
      <c r="S685" s="13"/>
      <c r="T685" s="13"/>
      <c r="U685" s="14"/>
      <c r="V685" s="14"/>
      <c r="W685" s="14"/>
      <c r="X685" s="14"/>
      <c r="Y685" s="14"/>
      <c r="Z685" s="15"/>
    </row>
    <row r="686" spans="18:26" ht="12">
      <c r="R686" s="13"/>
      <c r="S686" s="13"/>
      <c r="T686" s="13"/>
      <c r="U686" s="14"/>
      <c r="V686" s="14"/>
      <c r="W686" s="14"/>
      <c r="X686" s="14"/>
      <c r="Y686" s="14"/>
      <c r="Z686" s="15"/>
    </row>
    <row r="687" spans="18:26" ht="12">
      <c r="R687" s="13"/>
      <c r="S687" s="13"/>
      <c r="T687" s="13"/>
      <c r="U687" s="14"/>
      <c r="V687" s="14"/>
      <c r="W687" s="14"/>
      <c r="X687" s="14"/>
      <c r="Y687" s="14"/>
      <c r="Z687" s="15"/>
    </row>
    <row r="688" spans="18:26" ht="12">
      <c r="R688" s="13"/>
      <c r="S688" s="13"/>
      <c r="T688" s="13"/>
      <c r="U688" s="14"/>
      <c r="V688" s="14"/>
      <c r="W688" s="14"/>
      <c r="X688" s="14"/>
      <c r="Y688" s="14"/>
      <c r="Z688" s="15"/>
    </row>
    <row r="689" spans="18:26" ht="12">
      <c r="R689" s="13"/>
      <c r="S689" s="13"/>
      <c r="T689" s="13"/>
      <c r="U689" s="14"/>
      <c r="V689" s="14"/>
      <c r="W689" s="14"/>
      <c r="X689" s="14"/>
      <c r="Y689" s="14"/>
      <c r="Z689" s="15"/>
    </row>
    <row r="690" spans="18:26" ht="12">
      <c r="R690" s="13"/>
      <c r="S690" s="13"/>
      <c r="T690" s="13"/>
      <c r="U690" s="14"/>
      <c r="V690" s="14"/>
      <c r="W690" s="14"/>
      <c r="X690" s="14"/>
      <c r="Y690" s="14"/>
      <c r="Z690" s="15"/>
    </row>
    <row r="691" spans="18:26" ht="12">
      <c r="R691" s="13"/>
      <c r="S691" s="13"/>
      <c r="T691" s="13"/>
      <c r="U691" s="14"/>
      <c r="V691" s="14"/>
      <c r="W691" s="14"/>
      <c r="X691" s="14"/>
      <c r="Y691" s="14"/>
      <c r="Z691" s="15"/>
    </row>
    <row r="692" spans="18:26" ht="12">
      <c r="R692" s="13"/>
      <c r="S692" s="13"/>
      <c r="T692" s="13"/>
      <c r="U692" s="14"/>
      <c r="V692" s="14"/>
      <c r="W692" s="14"/>
      <c r="X692" s="14"/>
      <c r="Y692" s="14"/>
      <c r="Z692" s="15"/>
    </row>
    <row r="693" spans="18:26" ht="12">
      <c r="R693" s="13"/>
      <c r="S693" s="13"/>
      <c r="T693" s="13"/>
      <c r="U693" s="14"/>
      <c r="V693" s="14"/>
      <c r="W693" s="14"/>
      <c r="X693" s="14"/>
      <c r="Y693" s="14"/>
      <c r="Z693" s="15"/>
    </row>
    <row r="694" spans="18:26" ht="12">
      <c r="R694" s="13"/>
      <c r="S694" s="13"/>
      <c r="T694" s="13"/>
      <c r="U694" s="14"/>
      <c r="V694" s="14"/>
      <c r="W694" s="14"/>
      <c r="X694" s="14"/>
      <c r="Y694" s="14"/>
      <c r="Z694" s="15"/>
    </row>
    <row r="695" spans="18:26" ht="12">
      <c r="R695" s="13"/>
      <c r="S695" s="13"/>
      <c r="T695" s="13"/>
      <c r="U695" s="14"/>
      <c r="V695" s="14"/>
      <c r="W695" s="14"/>
      <c r="X695" s="14"/>
      <c r="Y695" s="14"/>
      <c r="Z695" s="15"/>
    </row>
    <row r="696" spans="18:26" ht="12">
      <c r="R696" s="13"/>
      <c r="S696" s="13"/>
      <c r="T696" s="13"/>
      <c r="U696" s="14"/>
      <c r="V696" s="14"/>
      <c r="W696" s="14"/>
      <c r="X696" s="14"/>
      <c r="Y696" s="14"/>
      <c r="Z696" s="15"/>
    </row>
    <row r="697" spans="18:26" ht="12">
      <c r="R697" s="13"/>
      <c r="S697" s="13"/>
      <c r="T697" s="13"/>
      <c r="U697" s="14"/>
      <c r="V697" s="14"/>
      <c r="W697" s="14"/>
      <c r="X697" s="14"/>
      <c r="Y697" s="14"/>
      <c r="Z697" s="15"/>
    </row>
    <row r="698" spans="18:26" ht="12">
      <c r="R698" s="13"/>
      <c r="S698" s="13"/>
      <c r="T698" s="13"/>
      <c r="U698" s="14"/>
      <c r="V698" s="14"/>
      <c r="W698" s="14"/>
      <c r="X698" s="14"/>
      <c r="Y698" s="14"/>
      <c r="Z698" s="15"/>
    </row>
    <row r="699" spans="18:26" ht="12">
      <c r="R699" s="13"/>
      <c r="S699" s="13"/>
      <c r="T699" s="13"/>
      <c r="U699" s="14"/>
      <c r="V699" s="14"/>
      <c r="W699" s="14"/>
      <c r="X699" s="14"/>
      <c r="Y699" s="14"/>
      <c r="Z699" s="15"/>
    </row>
    <row r="700" spans="18:26" ht="12">
      <c r="R700" s="13"/>
      <c r="S700" s="13"/>
      <c r="T700" s="13"/>
      <c r="U700" s="14"/>
      <c r="V700" s="14"/>
      <c r="W700" s="14"/>
      <c r="X700" s="14"/>
      <c r="Y700" s="14"/>
      <c r="Z700" s="15"/>
    </row>
    <row r="701" spans="18:26" ht="12">
      <c r="R701" s="13"/>
      <c r="S701" s="13"/>
      <c r="T701" s="13"/>
      <c r="U701" s="14"/>
      <c r="V701" s="14"/>
      <c r="W701" s="14"/>
      <c r="X701" s="14"/>
      <c r="Y701" s="14"/>
      <c r="Z701" s="15"/>
    </row>
    <row r="702" spans="18:26" ht="12">
      <c r="R702" s="13"/>
      <c r="S702" s="13"/>
      <c r="T702" s="13"/>
      <c r="U702" s="14"/>
      <c r="V702" s="14"/>
      <c r="W702" s="14"/>
      <c r="X702" s="14"/>
      <c r="Y702" s="14"/>
      <c r="Z702" s="15"/>
    </row>
    <row r="703" spans="18:26" ht="12">
      <c r="R703" s="13"/>
      <c r="S703" s="13"/>
      <c r="T703" s="13"/>
      <c r="U703" s="14"/>
      <c r="V703" s="14"/>
      <c r="W703" s="14"/>
      <c r="X703" s="14"/>
      <c r="Y703" s="14"/>
      <c r="Z703" s="15"/>
    </row>
    <row r="704" spans="18:26" ht="12">
      <c r="R704" s="13"/>
      <c r="S704" s="13"/>
      <c r="T704" s="13"/>
      <c r="U704" s="14"/>
      <c r="V704" s="14"/>
      <c r="W704" s="14"/>
      <c r="X704" s="14"/>
      <c r="Y704" s="14"/>
      <c r="Z704" s="15"/>
    </row>
    <row r="705" spans="18:26" ht="12">
      <c r="R705" s="13"/>
      <c r="S705" s="13"/>
      <c r="T705" s="13"/>
      <c r="U705" s="14"/>
      <c r="V705" s="14"/>
      <c r="W705" s="14"/>
      <c r="X705" s="14"/>
      <c r="Y705" s="14"/>
      <c r="Z705" s="15"/>
    </row>
    <row r="706" spans="18:26" ht="12">
      <c r="R706" s="13"/>
      <c r="S706" s="13"/>
      <c r="T706" s="13"/>
      <c r="U706" s="14"/>
      <c r="V706" s="14"/>
      <c r="W706" s="14"/>
      <c r="X706" s="14"/>
      <c r="Y706" s="14"/>
      <c r="Z706" s="15"/>
    </row>
    <row r="707" spans="18:26" ht="12">
      <c r="R707" s="13"/>
      <c r="S707" s="13"/>
      <c r="T707" s="13"/>
      <c r="U707" s="14"/>
      <c r="V707" s="14"/>
      <c r="W707" s="14"/>
      <c r="X707" s="14"/>
      <c r="Y707" s="14"/>
      <c r="Z707" s="15"/>
    </row>
    <row r="708" spans="18:26" ht="12">
      <c r="R708" s="13"/>
      <c r="S708" s="13"/>
      <c r="T708" s="13"/>
      <c r="U708" s="14"/>
      <c r="V708" s="14"/>
      <c r="W708" s="14"/>
      <c r="X708" s="14"/>
      <c r="Y708" s="14"/>
      <c r="Z708" s="15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6:AL7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6" max="6" width="9.57421875" style="0" customWidth="1"/>
    <col min="7" max="7" width="10.00390625" style="0" customWidth="1"/>
    <col min="11" max="11" width="13.140625" style="0" customWidth="1"/>
    <col min="12" max="12" width="9.7109375" style="0" customWidth="1"/>
    <col min="13" max="13" width="11.421875" style="0" customWidth="1"/>
    <col min="14" max="14" width="10.7109375" style="0" customWidth="1"/>
    <col min="15" max="16" width="8.8515625" style="0" bestFit="1" customWidth="1"/>
    <col min="17" max="17" width="10.8515625" style="0" customWidth="1"/>
    <col min="20" max="20" width="12.140625" style="0" bestFit="1" customWidth="1"/>
    <col min="21" max="21" width="11.7109375" style="0" customWidth="1"/>
    <col min="22" max="22" width="11.421875" style="0" customWidth="1"/>
    <col min="23" max="23" width="11.8515625" style="0" customWidth="1"/>
    <col min="24" max="24" width="13.7109375" style="0" customWidth="1"/>
    <col min="25" max="25" width="11.57421875" style="0" customWidth="1"/>
    <col min="26" max="26" width="10.8515625" style="0" customWidth="1"/>
    <col min="31" max="31" width="12.8515625" style="0" customWidth="1"/>
    <col min="32" max="32" width="13.00390625" style="0" customWidth="1"/>
    <col min="33" max="33" width="12.421875" style="0" customWidth="1"/>
    <col min="34" max="34" width="12.7109375" style="0" customWidth="1"/>
    <col min="35" max="35" width="12.8515625" style="0" customWidth="1"/>
    <col min="36" max="36" width="11.421875" style="0" customWidth="1"/>
  </cols>
  <sheetData>
    <row r="16" spans="2:6" ht="12.75">
      <c r="B16" s="18">
        <v>1</v>
      </c>
      <c r="C16" s="18">
        <v>2</v>
      </c>
      <c r="D16" s="18">
        <v>3</v>
      </c>
      <c r="E16" s="18">
        <v>4</v>
      </c>
      <c r="F16" s="18">
        <v>5</v>
      </c>
    </row>
    <row r="17" ht="12.75">
      <c r="I17" t="s">
        <v>128</v>
      </c>
    </row>
    <row r="18" ht="12.75">
      <c r="I18" t="s">
        <v>127</v>
      </c>
    </row>
    <row r="19" ht="12.75">
      <c r="I19" t="s">
        <v>129</v>
      </c>
    </row>
    <row r="21" ht="12.75">
      <c r="I21" t="s">
        <v>131</v>
      </c>
    </row>
    <row r="22" ht="12.75">
      <c r="I22" t="s">
        <v>130</v>
      </c>
    </row>
    <row r="24" ht="12.75">
      <c r="I24" t="s">
        <v>132</v>
      </c>
    </row>
    <row r="25" ht="12.75">
      <c r="I25" s="21" t="s">
        <v>133</v>
      </c>
    </row>
    <row r="28" ht="12.75">
      <c r="I28" t="s">
        <v>146</v>
      </c>
    </row>
    <row r="29" ht="12.75">
      <c r="I29" t="s">
        <v>134</v>
      </c>
    </row>
    <row r="30" ht="12.75">
      <c r="I30" t="s">
        <v>148</v>
      </c>
    </row>
    <row r="31" ht="12.75">
      <c r="I31" t="s">
        <v>135</v>
      </c>
    </row>
    <row r="32" ht="12.75">
      <c r="I32" t="s">
        <v>136</v>
      </c>
    </row>
    <row r="33" ht="12.75">
      <c r="I33" t="s">
        <v>137</v>
      </c>
    </row>
    <row r="34" spans="1:9" ht="12">
      <c r="A34" t="s">
        <v>95</v>
      </c>
      <c r="B34" s="1">
        <f>10^(B48/333333)*20</f>
        <v>100.00085072538329</v>
      </c>
      <c r="C34" s="1">
        <f>10^(C48/333333)*20</f>
        <v>299.99994269015565</v>
      </c>
      <c r="D34" s="1">
        <f>10^(D48/333333)*20</f>
        <v>1000.0015994567391</v>
      </c>
      <c r="E34" s="1">
        <f>10^(E48/333333)*20</f>
        <v>5000.0159945801815</v>
      </c>
      <c r="F34" s="1">
        <f>10^(F48/333333)*20</f>
        <v>10000.015994567402</v>
      </c>
      <c r="I34" t="s">
        <v>138</v>
      </c>
    </row>
    <row r="35" spans="1:9" ht="12">
      <c r="A35" t="s">
        <v>33</v>
      </c>
      <c r="B35" s="1">
        <f>B49/1000000*10+0.002</f>
        <v>2.99646</v>
      </c>
      <c r="C35" s="1">
        <f>C49/1000000*10+0.002</f>
        <v>3.00294</v>
      </c>
      <c r="D35" s="1">
        <f>D49/1000000*10+0.002</f>
        <v>1.5013500000000002</v>
      </c>
      <c r="E35" s="1">
        <f>E49/1000000*10+0.002</f>
        <v>0.74539</v>
      </c>
      <c r="F35" s="1">
        <f>F49/1000000*30+0.002</f>
        <v>6.59843</v>
      </c>
      <c r="I35" t="s">
        <v>139</v>
      </c>
    </row>
    <row r="36" spans="1:6" ht="12">
      <c r="A36" t="s">
        <v>34</v>
      </c>
      <c r="B36" s="1">
        <f>(B50-500000)/500000*30</f>
        <v>-20.00052</v>
      </c>
      <c r="C36" s="1">
        <f>(C50-500000)/500000*30</f>
        <v>-14.99922</v>
      </c>
      <c r="D36" s="1">
        <f>(D50-500000)/500000*30</f>
        <v>14.9955</v>
      </c>
      <c r="E36" s="1">
        <f>(E50-500000)/500000*20</f>
        <v>15.00164</v>
      </c>
      <c r="F36" s="1">
        <f>(F50-500000)/500000*30</f>
        <v>-21.14448</v>
      </c>
    </row>
    <row r="37" spans="1:6" ht="12">
      <c r="A37" t="s">
        <v>123</v>
      </c>
      <c r="B37">
        <f>((B51-500000)/500000*20)</f>
        <v>0</v>
      </c>
      <c r="C37">
        <f>((C51-500000)/500000*20)</f>
        <v>0</v>
      </c>
      <c r="D37">
        <f>((D51-500000)/500000*20)</f>
        <v>0</v>
      </c>
      <c r="E37">
        <f>((E51-500000)/500000*20)</f>
        <v>0</v>
      </c>
      <c r="F37">
        <f>((F51-500000)/500000*20)</f>
        <v>3.9999999999999996E-05</v>
      </c>
    </row>
    <row r="48" spans="1:10" ht="12">
      <c r="A48" t="s">
        <v>96</v>
      </c>
      <c r="B48">
        <v>232991</v>
      </c>
      <c r="C48">
        <v>392030</v>
      </c>
      <c r="D48">
        <v>566323</v>
      </c>
      <c r="E48">
        <v>799313</v>
      </c>
      <c r="F48">
        <v>899656</v>
      </c>
      <c r="I48" t="s">
        <v>111</v>
      </c>
      <c r="J48">
        <v>500000</v>
      </c>
    </row>
    <row r="49" spans="1:10" ht="12">
      <c r="A49" t="s">
        <v>97</v>
      </c>
      <c r="B49">
        <v>299446</v>
      </c>
      <c r="C49">
        <v>300094</v>
      </c>
      <c r="D49">
        <v>149935</v>
      </c>
      <c r="E49">
        <v>74339</v>
      </c>
      <c r="F49">
        <v>219881</v>
      </c>
      <c r="I49" t="s">
        <v>110</v>
      </c>
      <c r="J49">
        <f>(J48-500000)/500000*20</f>
        <v>0</v>
      </c>
    </row>
    <row r="50" spans="1:10" ht="12">
      <c r="A50" t="s">
        <v>98</v>
      </c>
      <c r="B50">
        <v>166658</v>
      </c>
      <c r="C50">
        <v>250013</v>
      </c>
      <c r="D50">
        <v>749925</v>
      </c>
      <c r="E50">
        <v>875041</v>
      </c>
      <c r="F50">
        <v>147592</v>
      </c>
      <c r="J50" s="12">
        <f>10^(J49/20)</f>
        <v>1</v>
      </c>
    </row>
    <row r="51" spans="1:10" ht="12">
      <c r="A51" t="s">
        <v>99</v>
      </c>
      <c r="B51">
        <v>500000</v>
      </c>
      <c r="C51">
        <v>500000</v>
      </c>
      <c r="D51">
        <v>500000</v>
      </c>
      <c r="E51">
        <v>500000</v>
      </c>
      <c r="F51">
        <v>500001</v>
      </c>
      <c r="J51">
        <f>J50</f>
        <v>1</v>
      </c>
    </row>
    <row r="56" spans="1:3" ht="12">
      <c r="A56" t="s">
        <v>122</v>
      </c>
      <c r="B56">
        <v>44100</v>
      </c>
      <c r="C56" t="s">
        <v>147</v>
      </c>
    </row>
    <row r="59" spans="2:6" ht="12">
      <c r="B59" t="s">
        <v>108</v>
      </c>
      <c r="C59" t="s">
        <v>108</v>
      </c>
      <c r="D59" t="s">
        <v>108</v>
      </c>
      <c r="E59" t="s">
        <v>108</v>
      </c>
      <c r="F59" t="s">
        <v>108</v>
      </c>
    </row>
    <row r="60" spans="1:6" ht="12">
      <c r="A60" t="s">
        <v>36</v>
      </c>
      <c r="B60" s="12">
        <f>SQRT(10^((B36)/20))</f>
        <v>0.3162183003210895</v>
      </c>
      <c r="C60" s="12">
        <f>SQRT(10^((C36)/20))</f>
        <v>0.4217154381992785</v>
      </c>
      <c r="D60" s="12">
        <f>10^((D36)/40)</f>
        <v>2.370759502620656</v>
      </c>
      <c r="E60" s="12">
        <f>10^((E36)/40)</f>
        <v>2.371597588108939</v>
      </c>
      <c r="F60" s="12">
        <f>10^((F36)/40)</f>
        <v>0.2960656344659252</v>
      </c>
    </row>
    <row r="61" spans="1:6" ht="12">
      <c r="A61" t="s">
        <v>38</v>
      </c>
      <c r="B61">
        <f>2*PI()*B34/B56</f>
        <v>0.014247706938394271</v>
      </c>
      <c r="C61">
        <f>2*PI()*C34/B56</f>
        <v>0.04274274902642866</v>
      </c>
      <c r="D61">
        <f>2*PI()*D34/B56</f>
        <v>0.14247608518962968</v>
      </c>
      <c r="E61">
        <f>2*PI()*E34/B56</f>
        <v>0.7123815653698213</v>
      </c>
      <c r="F61">
        <f>2*PI()*F34/B56</f>
        <v>1.4247608518962984</v>
      </c>
    </row>
    <row r="62" spans="1:6" ht="12">
      <c r="A62" t="s">
        <v>40</v>
      </c>
      <c r="B62">
        <f>COS(B61)</f>
        <v>0.9998985031404807</v>
      </c>
      <c r="C62">
        <f>COS(C61)</f>
        <v>0.9990866677659981</v>
      </c>
      <c r="D62">
        <f>COS(D61)</f>
        <v>0.989867440421687</v>
      </c>
      <c r="E62">
        <f>COS(E61)</f>
        <v>0.7568073420642902</v>
      </c>
      <c r="F62">
        <f>COS(F61)</f>
        <v>0.1455169605919912</v>
      </c>
    </row>
    <row r="63" spans="1:6" ht="12">
      <c r="A63" t="s">
        <v>41</v>
      </c>
      <c r="B63">
        <f>SIN(B61)</f>
        <v>0.01424722490262934</v>
      </c>
      <c r="C63">
        <f>SIN(C61)</f>
        <v>0.04272973545710518</v>
      </c>
      <c r="D63">
        <f>SIN(D61)</f>
        <v>0.1419945435325527</v>
      </c>
      <c r="E63">
        <f>SIN(E61)</f>
        <v>0.6536380091438873</v>
      </c>
      <c r="F63">
        <f>SIN(F61)</f>
        <v>0.9893557571369709</v>
      </c>
    </row>
    <row r="64" spans="1:6" ht="12">
      <c r="A64" t="s">
        <v>42</v>
      </c>
      <c r="B64" s="12">
        <f>B63/(2*B35)</f>
        <v>0.0023773427482144498</v>
      </c>
      <c r="C64" s="12">
        <f>C63/(2*C35)</f>
        <v>0.007114650218969606</v>
      </c>
      <c r="D64" s="12">
        <f>D63/(2*D35)</f>
        <v>0.04728895445184424</v>
      </c>
      <c r="E64" s="12">
        <f>E63/(2*E35)</f>
        <v>0.4384537015145677</v>
      </c>
      <c r="F64" s="12">
        <f>F63/(2*F35)</f>
        <v>0.07496902726383177</v>
      </c>
    </row>
    <row r="65" spans="1:6" ht="12">
      <c r="A65" t="s">
        <v>124</v>
      </c>
      <c r="B65" s="12">
        <f>10^(B37/20)</f>
        <v>1</v>
      </c>
      <c r="C65" s="12">
        <f>10^(C37/20)</f>
        <v>1</v>
      </c>
      <c r="D65" s="12">
        <f>10^(D37/20)</f>
        <v>1</v>
      </c>
      <c r="E65" s="12">
        <f>10^(E37/20)</f>
        <v>1</v>
      </c>
      <c r="F65" s="12">
        <f>10^(F37/20)</f>
        <v>1.0000046051807898</v>
      </c>
    </row>
    <row r="67" spans="11:18" ht="12">
      <c r="K67" t="s">
        <v>113</v>
      </c>
      <c r="M67" t="s">
        <v>114</v>
      </c>
      <c r="O67" t="s">
        <v>112</v>
      </c>
      <c r="P67" t="s">
        <v>115</v>
      </c>
      <c r="Q67" t="s">
        <v>116</v>
      </c>
      <c r="R67" t="s">
        <v>117</v>
      </c>
    </row>
    <row r="68" spans="1:18" ht="12.75">
      <c r="A68" t="s">
        <v>18</v>
      </c>
      <c r="B68" s="12">
        <f>B65*$J$51*(1+(B64*B60))</f>
        <v>1.000751759283121</v>
      </c>
      <c r="C68" s="12">
        <f>C65*$J$51*(1+(C64*C60))</f>
        <v>1.0030003578347273</v>
      </c>
      <c r="D68" s="12">
        <f>D65*$J$51*(1+(D64*D60))</f>
        <v>1.1121107381357052</v>
      </c>
      <c r="E68" s="12">
        <f>E65*$J$51*(1+(E64*E60))</f>
        <v>2.0398357410093855</v>
      </c>
      <c r="F68" s="12">
        <f>F65*$J$51*(1+(F64*F60))</f>
        <v>1.0222004600184031</v>
      </c>
      <c r="J68" t="s">
        <v>18</v>
      </c>
      <c r="K68" s="20">
        <v>0.9865370355843299</v>
      </c>
      <c r="L68" s="5">
        <f>K68/K71</f>
        <v>0.9769047093568034</v>
      </c>
      <c r="M68">
        <f>ROUND(L68*2^20,0)</f>
        <v>1024359</v>
      </c>
      <c r="N68" s="19" t="str">
        <f>DEC2HEX(M68)</f>
        <v>FA167</v>
      </c>
      <c r="O68" t="str">
        <f>IF(LEN(N68)&lt;&gt;6,RIGHT("000000"&amp;N68,6),N68)</f>
        <v>0FA167</v>
      </c>
      <c r="P68" s="5">
        <f>(IF(HEX2DEC(O68)&gt;8388607,(HEX2DEC(O68)-16777215),HEX2DEC(O68)))/2^20</f>
        <v>0.9769048690795898</v>
      </c>
      <c r="Q68" t="str">
        <f aca="true" t="shared" si="0" ref="Q68:Q73">TEXT(O68,"######")</f>
        <v>0FA167</v>
      </c>
      <c r="R68" t="str">
        <f aca="true" t="shared" si="1" ref="R68:R73">RIGHT(Q68,2)&amp;" "&amp;MID(Q68,3,2)&amp;" "&amp;LEFT(Q68,2)&amp;" "</f>
        <v>67 A1 0F </v>
      </c>
    </row>
    <row r="69" spans="1:18" ht="12.75">
      <c r="A69" t="s">
        <v>19</v>
      </c>
      <c r="B69" s="12">
        <f>B65*$J$51*(-2*B62)</f>
        <v>-1.9997970062809614</v>
      </c>
      <c r="C69" s="12">
        <f>C65*$J$51*(-2*C62)</f>
        <v>-1.9981733355319962</v>
      </c>
      <c r="D69" s="12">
        <f>D65*$J$51*(-2*D62)</f>
        <v>-1.979734880843374</v>
      </c>
      <c r="E69" s="12">
        <f>E65*$J$51*(-2*E62)</f>
        <v>-1.5136146841285805</v>
      </c>
      <c r="F69" s="12">
        <f>F65*$J$51*(-2*F62)</f>
        <v>-0.29103526144780545</v>
      </c>
      <c r="J69" t="s">
        <v>19</v>
      </c>
      <c r="K69" s="20">
        <v>-1.9676007876982309</v>
      </c>
      <c r="L69" s="5">
        <f>K69/K71</f>
        <v>-1.9483895751547284</v>
      </c>
      <c r="M69">
        <f>ROUND(L69*2^20,0)</f>
        <v>-2043035</v>
      </c>
      <c r="N69" s="19" t="str">
        <f>IF(M69&lt;0,DEC2HEX(M69+16777215),DEC2HEX(M69))</f>
        <v>E0D364</v>
      </c>
      <c r="O69" t="str">
        <f>IF(LEN(N69)&lt;&gt;6,RIGHT("000000"&amp;N69,6),N69)</f>
        <v>E0D364</v>
      </c>
      <c r="P69" s="5">
        <f>(IF(HEX2DEC(O69)&gt;8388607,(HEX2DEC(O69)-16777215),HEX2DEC(O69)))/2^20</f>
        <v>-1.948390007019043</v>
      </c>
      <c r="Q69" t="str">
        <f t="shared" si="0"/>
        <v>E0D364</v>
      </c>
      <c r="R69" t="str">
        <f t="shared" si="1"/>
        <v>64 D3 E0 </v>
      </c>
    </row>
    <row r="70" spans="1:18" ht="12.75">
      <c r="A70" t="s">
        <v>20</v>
      </c>
      <c r="B70" s="12">
        <f>B65*$J$51*(1-(B60*B64))</f>
        <v>0.999248240716879</v>
      </c>
      <c r="C70" s="12">
        <f>C65*$J$51*(1-(C60*C64))</f>
        <v>0.9969996421652726</v>
      </c>
      <c r="D70" s="12">
        <f>D65*$J$51*(1-(D60*D64))</f>
        <v>0.887889261864295</v>
      </c>
      <c r="E70" s="12">
        <f>E65*$J$51*(1-(E60*E64))</f>
        <v>-0.03983574100938525</v>
      </c>
      <c r="F70" s="12">
        <f>F65*$J$51*(1-(F60*F64))</f>
        <v>0.9778087503431767</v>
      </c>
      <c r="J70" t="s">
        <v>20</v>
      </c>
      <c r="K70" s="20">
        <v>0.9859220145415485</v>
      </c>
      <c r="L70" s="5">
        <f>K70/K71</f>
        <v>0.9762956932414674</v>
      </c>
      <c r="M70">
        <f>ROUND(L70*2^20,0)</f>
        <v>1023720</v>
      </c>
      <c r="N70" s="19" t="str">
        <f>IF(M70&lt;0,DEC2HEX(M70+16777215),DEC2HEX(M70))</f>
        <v>F9EE8</v>
      </c>
      <c r="O70" t="str">
        <f>IF(LEN(N70)&lt;&gt;6,RIGHT("000000"&amp;N70,6),N70)</f>
        <v>0F9EE8</v>
      </c>
      <c r="P70" s="5">
        <f>(IF(HEX2DEC(O70)&gt;8388607,(HEX2DEC(O70)-16777215),HEX2DEC(O70)))/2^20</f>
        <v>0.9762954711914062</v>
      </c>
      <c r="Q70" t="str">
        <f t="shared" si="0"/>
        <v>0F9EE8</v>
      </c>
      <c r="R70" t="str">
        <f t="shared" si="1"/>
        <v>E8 9E 0F </v>
      </c>
    </row>
    <row r="71" spans="1:18" ht="12.75">
      <c r="A71" t="s">
        <v>102</v>
      </c>
      <c r="B71" s="12">
        <f>1+(B64/B60)</f>
        <v>1.0075180429020094</v>
      </c>
      <c r="C71" s="12">
        <f>1+(C64/C60)</f>
        <v>1.0168707369342442</v>
      </c>
      <c r="D71" s="12">
        <f>1+(D64/D60)</f>
        <v>1.0199467530972968</v>
      </c>
      <c r="E71" s="12">
        <f>1+(E64/E60)</f>
        <v>1.184876938529939</v>
      </c>
      <c r="F71" s="12">
        <f>1+(F64/F60)</f>
        <v>1.2532175927782665</v>
      </c>
      <c r="J71" t="s">
        <v>102</v>
      </c>
      <c r="K71" s="20">
        <v>1.0098600468758805</v>
      </c>
      <c r="L71" s="5">
        <v>1</v>
      </c>
      <c r="N71" s="19"/>
      <c r="P71" s="5"/>
      <c r="Q71">
        <f t="shared" si="0"/>
      </c>
      <c r="R71" t="str">
        <f t="shared" si="1"/>
        <v>   </v>
      </c>
    </row>
    <row r="72" spans="1:18" ht="12.75">
      <c r="A72" t="s">
        <v>103</v>
      </c>
      <c r="B72" s="12">
        <f>-2*B62</f>
        <v>-1.9997970062809614</v>
      </c>
      <c r="C72" s="12">
        <f>-2*C62</f>
        <v>-1.9981733355319962</v>
      </c>
      <c r="D72" s="12">
        <f>-2*D62</f>
        <v>-1.979734880843374</v>
      </c>
      <c r="E72" s="12">
        <f>-2*E62</f>
        <v>-1.5136146841285805</v>
      </c>
      <c r="F72" s="12">
        <f>-2*F62</f>
        <v>-0.2910339211839824</v>
      </c>
      <c r="J72" t="s">
        <v>103</v>
      </c>
      <c r="K72" s="20">
        <v>-1.9950739028753601</v>
      </c>
      <c r="L72" s="5">
        <f>K72/K71</f>
        <v>-1.975594449000486</v>
      </c>
      <c r="M72">
        <f>ROUND(L72*2^20,0)*-1</f>
        <v>2071561</v>
      </c>
      <c r="N72" s="19" t="str">
        <f>IF(M72&lt;0,DEC2HEX(M72+16777215),DEC2HEX(M72))</f>
        <v>1F9C09</v>
      </c>
      <c r="O72" t="str">
        <f>IF(LEN(N72)&lt;&gt;6,RIGHT("000000"&amp;N72,6),N72)</f>
        <v>1F9C09</v>
      </c>
      <c r="P72" s="5">
        <f>-(IF(HEX2DEC(O72)&gt;8388607,(HEX2DEC(O72)-16777215),HEX2DEC(O72)))/2^20</f>
        <v>-1.9755945205688477</v>
      </c>
      <c r="Q72" t="str">
        <f t="shared" si="0"/>
        <v>1F9C09</v>
      </c>
      <c r="R72" t="str">
        <f t="shared" si="1"/>
        <v>09 9C 1F </v>
      </c>
    </row>
    <row r="73" spans="1:18" ht="12.75">
      <c r="A73" t="s">
        <v>104</v>
      </c>
      <c r="B73">
        <f>1-(B64/B60)</f>
        <v>0.9924819570979906</v>
      </c>
      <c r="C73">
        <f>1-(C64/C60)</f>
        <v>0.9831292630657557</v>
      </c>
      <c r="D73">
        <f>1-(D64/D60)</f>
        <v>0.9800532469027032</v>
      </c>
      <c r="E73">
        <f>1-(E64/E60)</f>
        <v>0.8151230614700611</v>
      </c>
      <c r="F73">
        <f>1-(F64/F60)</f>
        <v>0.7467824072217335</v>
      </c>
      <c r="J73" t="s">
        <v>104</v>
      </c>
      <c r="K73" s="20">
        <v>0.9901399531241195</v>
      </c>
      <c r="L73" s="5">
        <f>K73/K71</f>
        <v>0.9804724488182621</v>
      </c>
      <c r="M73">
        <f>ROUND(L73*2^20,0)*-1</f>
        <v>-1028100</v>
      </c>
      <c r="N73" s="19" t="str">
        <f>IF(M73&lt;0,DEC2HEX(M73+16777215),DEC2HEX(M73))</f>
        <v>F04FFB</v>
      </c>
      <c r="O73" t="str">
        <f>IF(LEN(N73)&lt;&gt;6,RIGHT("000000"&amp;N73,6),N73)</f>
        <v>F04FFB</v>
      </c>
      <c r="P73" s="5">
        <f>-(IF(HEX2DEC(O73)&gt;8388607,(HEX2DEC(O73)-16777215),HEX2DEC(O73)))/2^20</f>
        <v>0.9804725646972656</v>
      </c>
      <c r="Q73" t="str">
        <f t="shared" si="0"/>
        <v>F04FFB</v>
      </c>
      <c r="R73" t="str">
        <f t="shared" si="1"/>
        <v>FB 4F F0 </v>
      </c>
    </row>
    <row r="74" ht="12">
      <c r="P74" s="2"/>
    </row>
    <row r="75" spans="11:16" ht="12">
      <c r="K75" t="s">
        <v>118</v>
      </c>
      <c r="L75" t="str">
        <f>R68&amp;R69&amp;R70&amp;R72&amp;R73</f>
        <v>67 A1 0F 64 D3 E0 E8 9E 0F 09 9C 1F FB 4F F0 </v>
      </c>
      <c r="P75" s="2"/>
    </row>
    <row r="77" ht="12">
      <c r="L77" t="s">
        <v>125</v>
      </c>
    </row>
    <row r="109" spans="2:7" ht="12">
      <c r="B109" t="s">
        <v>39</v>
      </c>
      <c r="C109">
        <v>563154</v>
      </c>
      <c r="D109">
        <f>10^(C109/333333)*20</f>
        <v>978.3487289712558</v>
      </c>
      <c r="E109">
        <f>LOG(C109)</f>
        <v>5.750627173190064</v>
      </c>
      <c r="G109" s="4"/>
    </row>
    <row r="110" spans="1:10" ht="13.5">
      <c r="A110" s="7"/>
      <c r="B110" t="s">
        <v>33</v>
      </c>
      <c r="C110">
        <v>912551</v>
      </c>
      <c r="D110">
        <f>C110/1000000*7</f>
        <v>6.387857</v>
      </c>
      <c r="G110" s="4"/>
      <c r="J110" s="12"/>
    </row>
    <row r="111" spans="1:4" ht="13.5">
      <c r="A111" s="8"/>
      <c r="B111" t="s">
        <v>34</v>
      </c>
      <c r="C111">
        <v>361479</v>
      </c>
      <c r="D111">
        <f>(C111-500000)/500000*20</f>
        <v>-5.54084</v>
      </c>
    </row>
    <row r="112" spans="1:14" ht="13.5">
      <c r="A112" s="8"/>
      <c r="B112" t="s">
        <v>35</v>
      </c>
      <c r="C112">
        <v>554218</v>
      </c>
      <c r="D112">
        <f>(C112-500000)/500000*20</f>
        <v>2.16872</v>
      </c>
      <c r="J112" s="12"/>
      <c r="N112" s="4"/>
    </row>
    <row r="113" spans="1:31" ht="13.5">
      <c r="A113" s="8"/>
      <c r="C113">
        <v>538360</v>
      </c>
      <c r="J113" s="12"/>
      <c r="U113" s="6" t="s">
        <v>26</v>
      </c>
      <c r="AE113" s="6"/>
    </row>
    <row r="114" spans="10:26" ht="12">
      <c r="J114" s="12"/>
      <c r="U114" s="16">
        <v>1</v>
      </c>
      <c r="V114" s="16">
        <v>2</v>
      </c>
      <c r="W114" s="16">
        <v>3</v>
      </c>
      <c r="X114" s="16">
        <v>4</v>
      </c>
      <c r="Y114" s="16">
        <v>5</v>
      </c>
      <c r="Z114" s="16" t="s">
        <v>121</v>
      </c>
    </row>
    <row r="115" spans="18:26" ht="12">
      <c r="R115" s="13" t="s">
        <v>23</v>
      </c>
      <c r="S115" s="13" t="s">
        <v>24</v>
      </c>
      <c r="T115" s="13" t="s">
        <v>25</v>
      </c>
      <c r="U115" s="13">
        <v>1</v>
      </c>
      <c r="V115" s="13">
        <v>2</v>
      </c>
      <c r="W115" s="13">
        <v>3</v>
      </c>
      <c r="X115" s="13">
        <v>4</v>
      </c>
      <c r="Y115" s="13">
        <v>5</v>
      </c>
      <c r="Z115" s="13" t="s">
        <v>121</v>
      </c>
    </row>
    <row r="116" spans="3:38" ht="12">
      <c r="C116" t="s">
        <v>3</v>
      </c>
      <c r="D116" s="5" t="s">
        <v>18</v>
      </c>
      <c r="E116" s="5">
        <v>1</v>
      </c>
      <c r="F116" s="9"/>
      <c r="G116" s="5">
        <f>B68/B71</f>
        <v>0.993284206008461</v>
      </c>
      <c r="H116" s="3"/>
      <c r="I116" s="3"/>
      <c r="L116" s="2"/>
      <c r="M116" s="2"/>
      <c r="N116" s="11"/>
      <c r="R116" s="13">
        <v>10</v>
      </c>
      <c r="S116" s="13">
        <f aca="true" t="shared" si="2" ref="S116:S179">2*PI()*R116/44100</f>
        <v>0.0014247585730565956</v>
      </c>
      <c r="T116" s="13">
        <f aca="true" t="shared" si="3" ref="T116:T179">4*(SIN(S116/2))^2</f>
        <v>2.029936648111274E-06</v>
      </c>
      <c r="U116" s="14">
        <f aca="true" t="shared" si="4" ref="U116:U179">10*LOG10(($G$116+$G$117+$G$118)^2+($G$116*$G$118*T116-($G$117*($G$116+$G$118)+4*$G$116*$G$118))*T116)-10*LOG10((1+$G$119+$G$120)^2+(1*$G$120*T116-($G$119*(1+$G$120)+4*1*$G$120))*T116)</f>
        <v>-0.048579797112708434</v>
      </c>
      <c r="V116" s="14">
        <f aca="true" t="shared" si="5" ref="V116:V179">10*LOG10(($G$121+$G$122+$G$123)^2+($G$121*$G$123*$T116-($G$122*($G$121+$G$123)+4*$G$121*$G$123))*$T116)-10*LOG10((1+$G$124+$G$125)^2+(1*$G$125*$T116-($G$124*(1+$G$125)+4*1*$G$125))*$T116)</f>
        <v>-0.0029182967742542587</v>
      </c>
      <c r="W116" s="14">
        <f aca="true" t="shared" si="6" ref="W116:W179">10*LOG10(($G$126+$G$127+$G$128)^2+($G$126*$G$128*$T116-($G$127*($G$126+$G$128)+4*$G$126*$G$128))*$T116)-10*LOG10((1+$G$129+$G$130)^2+(1*$G$130*$T116-($G$129*(1+$G$130)+4*1*$G$130))*$T116)</f>
        <v>0.0010451626086478427</v>
      </c>
      <c r="X116" s="14">
        <f aca="true" t="shared" si="7" ref="X116:X179">10*LOG10(($G$131+$G$132+$G$133)^2+($G$131*$G$133*$T116-($G$132*($G$131+$G$133)+4*$G$131*$G$133))*$T116)-10*LOG10((1+$G$134+$G$135)^2+(1*$G$135*$T116-($G$134*(1+$G$135)+4*1*$G$135))*$T116)</f>
        <v>0.00015607752532353913</v>
      </c>
      <c r="Y116" s="14">
        <f aca="true" t="shared" si="8" ref="Y116:Y179">10*LOG10(($G$136+$G$137+$G$138)^2+($G$136*$G$138*$T116-($G$137*($G$136+$G$138)+4*$G$136*$G$138))*$T116)-10*LOG10((1+$G$139+$G$140)^2+(1*$G$140*$T116-($G$139*(1+$G$140)+4*1*$G$140))*$T116)</f>
        <v>3.9231756856938915E-05</v>
      </c>
      <c r="Z116" s="15">
        <f aca="true" t="shared" si="9" ref="Z116:Z179">U116+V116+W116+X116+Y116</f>
        <v>-0.05025762199613437</v>
      </c>
      <c r="AE116" s="14"/>
      <c r="AF116" s="14"/>
      <c r="AG116" s="14"/>
      <c r="AH116" s="14"/>
      <c r="AI116" s="14"/>
      <c r="AJ116" s="15"/>
      <c r="AL116" s="1"/>
    </row>
    <row r="117" spans="2:38" ht="12.75">
      <c r="B117" s="2"/>
      <c r="C117" s="17" t="s">
        <v>100</v>
      </c>
      <c r="D117" s="5" t="s">
        <v>19</v>
      </c>
      <c r="E117" s="5">
        <v>2</v>
      </c>
      <c r="F117" s="9"/>
      <c r="G117" s="5">
        <f>B69/B71</f>
        <v>-1.9848746336302192</v>
      </c>
      <c r="H117" s="3"/>
      <c r="I117" s="3"/>
      <c r="L117" s="2"/>
      <c r="M117" s="2"/>
      <c r="N117" s="2"/>
      <c r="R117" s="13">
        <v>10.2</v>
      </c>
      <c r="S117" s="13">
        <f t="shared" si="2"/>
        <v>0.0014532537445177273</v>
      </c>
      <c r="T117" s="13">
        <f t="shared" si="3"/>
        <v>2.1119460742616727E-06</v>
      </c>
      <c r="U117" s="14">
        <f t="shared" si="4"/>
        <v>-0.050571836861067254</v>
      </c>
      <c r="V117" s="14">
        <f t="shared" si="5"/>
        <v>-0.003036424827222106</v>
      </c>
      <c r="W117" s="14">
        <f t="shared" si="6"/>
        <v>0.0010873903177284205</v>
      </c>
      <c r="X117" s="14">
        <f t="shared" si="7"/>
        <v>0.00016238298209092505</v>
      </c>
      <c r="Y117" s="14">
        <f t="shared" si="8"/>
        <v>3.9200719782250815E-05</v>
      </c>
      <c r="Z117" s="15">
        <f t="shared" si="9"/>
        <v>-0.052319287668687764</v>
      </c>
      <c r="AE117" s="14"/>
      <c r="AF117" s="14"/>
      <c r="AG117" s="14"/>
      <c r="AH117" s="14"/>
      <c r="AI117" s="14"/>
      <c r="AJ117" s="15"/>
      <c r="AL117" s="1"/>
    </row>
    <row r="118" spans="4:38" ht="12">
      <c r="D118" s="5" t="s">
        <v>20</v>
      </c>
      <c r="E118" s="5">
        <v>3</v>
      </c>
      <c r="F118" s="9"/>
      <c r="G118" s="5">
        <f>B70/B71</f>
        <v>0.991791906613096</v>
      </c>
      <c r="H118" s="3"/>
      <c r="I118" s="3"/>
      <c r="L118" s="2"/>
      <c r="M118" s="2"/>
      <c r="N118" s="2"/>
      <c r="R118" s="13">
        <v>10.404</v>
      </c>
      <c r="S118" s="13">
        <f t="shared" si="2"/>
        <v>0.001482318819408082</v>
      </c>
      <c r="T118" s="13">
        <f t="shared" si="3"/>
        <v>2.1972686800387814E-06</v>
      </c>
      <c r="U118" s="14">
        <f t="shared" si="4"/>
        <v>-0.05264680110686015</v>
      </c>
      <c r="V118" s="14">
        <f t="shared" si="5"/>
        <v>-0.0031593441442225867</v>
      </c>
      <c r="W118" s="14">
        <f t="shared" si="6"/>
        <v>0.0011313242850548022</v>
      </c>
      <c r="X118" s="14">
        <f t="shared" si="7"/>
        <v>0.00016894317310534035</v>
      </c>
      <c r="Y118" s="14">
        <f t="shared" si="8"/>
        <v>3.916842880435922E-05</v>
      </c>
      <c r="Z118" s="15">
        <f t="shared" si="9"/>
        <v>-0.05446670936411824</v>
      </c>
      <c r="AE118" s="14"/>
      <c r="AF118" s="14"/>
      <c r="AG118" s="14"/>
      <c r="AH118" s="14"/>
      <c r="AI118" s="14"/>
      <c r="AJ118" s="15"/>
      <c r="AL118" s="1"/>
    </row>
    <row r="119" spans="4:38" ht="12">
      <c r="D119" s="10" t="s">
        <v>21</v>
      </c>
      <c r="E119" s="5">
        <v>4</v>
      </c>
      <c r="F119" s="9"/>
      <c r="G119" s="5">
        <f>B72/B71</f>
        <v>-1.9848746336302192</v>
      </c>
      <c r="H119" s="3"/>
      <c r="I119" s="3"/>
      <c r="L119" s="2"/>
      <c r="M119" s="2"/>
      <c r="N119" s="2"/>
      <c r="R119" s="13">
        <v>10.61208</v>
      </c>
      <c r="S119" s="13">
        <f t="shared" si="2"/>
        <v>0.0015119651957962437</v>
      </c>
      <c r="T119" s="13">
        <f t="shared" si="3"/>
        <v>2.2860383178014416E-06</v>
      </c>
      <c r="U119" s="14">
        <f t="shared" si="4"/>
        <v>-0.05480824433377052</v>
      </c>
      <c r="V119" s="14">
        <f t="shared" si="5"/>
        <v>-0.003287249852647278</v>
      </c>
      <c r="W119" s="14">
        <f t="shared" si="6"/>
        <v>0.001177033464820454</v>
      </c>
      <c r="X119" s="14">
        <f t="shared" si="7"/>
        <v>0.0001757683891216999</v>
      </c>
      <c r="Y119" s="14">
        <f t="shared" si="8"/>
        <v>3.913483326734024E-05</v>
      </c>
      <c r="Z119" s="15">
        <f t="shared" si="9"/>
        <v>-0.0567035574992083</v>
      </c>
      <c r="AE119" s="14"/>
      <c r="AF119" s="14"/>
      <c r="AG119" s="14"/>
      <c r="AH119" s="14"/>
      <c r="AI119" s="14"/>
      <c r="AJ119" s="15"/>
      <c r="AL119" s="1"/>
    </row>
    <row r="120" spans="4:38" ht="12">
      <c r="D120" s="10" t="s">
        <v>22</v>
      </c>
      <c r="E120" s="5">
        <v>5</v>
      </c>
      <c r="F120" s="9"/>
      <c r="G120" s="5">
        <f>B73/B71</f>
        <v>0.985076112621557</v>
      </c>
      <c r="H120" s="3"/>
      <c r="I120" s="3"/>
      <c r="L120" s="2"/>
      <c r="M120" s="2"/>
      <c r="N120" s="2"/>
      <c r="R120" s="13">
        <v>10.824321600000001</v>
      </c>
      <c r="S120" s="13">
        <f t="shared" si="2"/>
        <v>0.0015422044997121687</v>
      </c>
      <c r="T120" s="13">
        <f t="shared" si="3"/>
        <v>2.3783942475357114E-06</v>
      </c>
      <c r="U120" s="14">
        <f t="shared" si="4"/>
        <v>-0.0570598818128758</v>
      </c>
      <c r="V120" s="14">
        <f t="shared" si="5"/>
        <v>-0.0034203450921097556</v>
      </c>
      <c r="W120" s="14">
        <f t="shared" si="6"/>
        <v>0.0012245895986779942</v>
      </c>
      <c r="X120" s="14">
        <f t="shared" si="7"/>
        <v>0.0001828693365997225</v>
      </c>
      <c r="Y120" s="14">
        <f t="shared" si="8"/>
        <v>3.9099880465798265E-05</v>
      </c>
      <c r="Z120" s="15">
        <f t="shared" si="9"/>
        <v>-0.05903366808924204</v>
      </c>
      <c r="AE120" s="14"/>
      <c r="AF120" s="14"/>
      <c r="AG120" s="14"/>
      <c r="AH120" s="14"/>
      <c r="AI120" s="14"/>
      <c r="AJ120" s="15"/>
      <c r="AL120" s="1"/>
    </row>
    <row r="121" spans="3:38" ht="12">
      <c r="C121" t="s">
        <v>29</v>
      </c>
      <c r="D121" s="2" t="s">
        <v>18</v>
      </c>
      <c r="E121" s="2">
        <v>6</v>
      </c>
      <c r="F121" s="3"/>
      <c r="G121" s="2">
        <f>C68/C71</f>
        <v>0.9863597421031757</v>
      </c>
      <c r="H121" s="3"/>
      <c r="I121" s="3"/>
      <c r="R121" s="13">
        <v>11.040808032000001</v>
      </c>
      <c r="S121" s="13">
        <f t="shared" si="2"/>
        <v>0.001573048589706412</v>
      </c>
      <c r="T121" s="13">
        <f t="shared" si="3"/>
        <v>2.474481355322332E-06</v>
      </c>
      <c r="U121" s="14">
        <f t="shared" si="4"/>
        <v>-0.0594055975589356</v>
      </c>
      <c r="V121" s="14">
        <f t="shared" si="5"/>
        <v>-0.003558841348741737</v>
      </c>
      <c r="W121" s="14">
        <f t="shared" si="6"/>
        <v>0.001274067328580486</v>
      </c>
      <c r="X121" s="14">
        <f t="shared" si="7"/>
        <v>0.00019025715448517388</v>
      </c>
      <c r="Y121" s="14">
        <f t="shared" si="8"/>
        <v>3.906351556492993E-05</v>
      </c>
      <c r="Z121" s="15">
        <f t="shared" si="9"/>
        <v>-0.061461050909046744</v>
      </c>
      <c r="AE121" s="14"/>
      <c r="AF121" s="14"/>
      <c r="AG121" s="14"/>
      <c r="AH121" s="14"/>
      <c r="AI121" s="14"/>
      <c r="AJ121" s="15"/>
      <c r="AL121" s="1"/>
    </row>
    <row r="122" spans="3:38" ht="12.75">
      <c r="C122" s="17" t="s">
        <v>101</v>
      </c>
      <c r="D122" s="2" t="s">
        <v>19</v>
      </c>
      <c r="E122" s="2">
        <v>7</v>
      </c>
      <c r="F122" s="3"/>
      <c r="G122" s="2">
        <f>C69/C71</f>
        <v>-1.965021966859105</v>
      </c>
      <c r="H122" s="3"/>
      <c r="I122" s="3"/>
      <c r="R122" s="13">
        <v>11.261624192640001</v>
      </c>
      <c r="S122" s="13">
        <f t="shared" si="2"/>
        <v>0.0016045095615005403</v>
      </c>
      <c r="T122" s="13">
        <f t="shared" si="3"/>
        <v>2.5744503806302366E-06</v>
      </c>
      <c r="U122" s="14">
        <f t="shared" si="4"/>
        <v>-0.06184945273382425</v>
      </c>
      <c r="V122" s="14">
        <f t="shared" si="5"/>
        <v>-0.0037029588040056183</v>
      </c>
      <c r="W122" s="14">
        <f t="shared" si="6"/>
        <v>0.0013255443140565148</v>
      </c>
      <c r="X122" s="14">
        <f t="shared" si="7"/>
        <v>0.00019794343169809991</v>
      </c>
      <c r="Y122" s="14">
        <f t="shared" si="8"/>
        <v>3.902568151659125E-05</v>
      </c>
      <c r="Z122" s="15">
        <f t="shared" si="9"/>
        <v>-0.06398989811055866</v>
      </c>
      <c r="AE122" s="14"/>
      <c r="AF122" s="14"/>
      <c r="AG122" s="14"/>
      <c r="AH122" s="14"/>
      <c r="AI122" s="14"/>
      <c r="AJ122" s="15"/>
      <c r="AL122" s="1"/>
    </row>
    <row r="123" spans="4:38" ht="12">
      <c r="D123" s="2" t="s">
        <v>20</v>
      </c>
      <c r="E123" s="2">
        <v>8</v>
      </c>
      <c r="F123" s="3"/>
      <c r="G123" s="2">
        <f>C70/C71</f>
        <v>0.9804585833309739</v>
      </c>
      <c r="H123" s="3"/>
      <c r="I123" s="3"/>
      <c r="R123" s="13">
        <v>11.4868566764928</v>
      </c>
      <c r="S123" s="13">
        <f t="shared" si="2"/>
        <v>0.0016365997527305512</v>
      </c>
      <c r="T123" s="13">
        <f t="shared" si="3"/>
        <v>2.678458152792648E-06</v>
      </c>
      <c r="U123" s="14">
        <f t="shared" si="4"/>
        <v>-0.06439569452668081</v>
      </c>
      <c r="V123" s="14">
        <f t="shared" si="5"/>
        <v>-0.0038529266984994592</v>
      </c>
      <c r="W123" s="14">
        <f t="shared" si="6"/>
        <v>0.0013791013543382746</v>
      </c>
      <c r="X123" s="14">
        <f t="shared" si="7"/>
        <v>0.00020594022529252243</v>
      </c>
      <c r="Y123" s="14">
        <f t="shared" si="8"/>
        <v>3.898631896603888E-05</v>
      </c>
      <c r="Z123" s="15">
        <f t="shared" si="9"/>
        <v>-0.06662459332658344</v>
      </c>
      <c r="AE123" s="14"/>
      <c r="AF123" s="14"/>
      <c r="AG123" s="14"/>
      <c r="AH123" s="14"/>
      <c r="AI123" s="14"/>
      <c r="AJ123" s="15"/>
      <c r="AL123" s="1"/>
    </row>
    <row r="124" spans="4:38" ht="12">
      <c r="D124" s="11" t="s">
        <v>21</v>
      </c>
      <c r="E124" s="2">
        <v>9</v>
      </c>
      <c r="F124" s="3"/>
      <c r="G124" s="2">
        <f>C72/C71</f>
        <v>-1.965021966859105</v>
      </c>
      <c r="H124" s="3"/>
      <c r="I124" s="3"/>
      <c r="R124" s="13">
        <v>11.716593810022657</v>
      </c>
      <c r="S124" s="13">
        <f t="shared" si="2"/>
        <v>0.001669331747785162</v>
      </c>
      <c r="T124" s="13">
        <f t="shared" si="3"/>
        <v>2.7866678370367532E-06</v>
      </c>
      <c r="U124" s="14">
        <f t="shared" si="4"/>
        <v>-0.06704876554189809</v>
      </c>
      <c r="V124" s="14">
        <f t="shared" si="5"/>
        <v>-0.00400898371156444</v>
      </c>
      <c r="W124" s="14">
        <f t="shared" si="6"/>
        <v>0.001434822515314238</v>
      </c>
      <c r="X124" s="14">
        <f t="shared" si="7"/>
        <v>0.0002142600793728633</v>
      </c>
      <c r="Y124" s="14">
        <f t="shared" si="8"/>
        <v>3.8945366162224104E-05</v>
      </c>
      <c r="Z124" s="15">
        <f t="shared" si="9"/>
        <v>-0.0693697212926132</v>
      </c>
      <c r="AE124" s="14"/>
      <c r="AF124" s="14"/>
      <c r="AG124" s="14"/>
      <c r="AH124" s="14"/>
      <c r="AI124" s="14"/>
      <c r="AJ124" s="15"/>
      <c r="AL124" s="1"/>
    </row>
    <row r="125" spans="4:38" ht="12">
      <c r="D125" s="11" t="s">
        <v>22</v>
      </c>
      <c r="E125" s="2">
        <v>10</v>
      </c>
      <c r="F125" s="3"/>
      <c r="G125" s="2">
        <f>C73/C71</f>
        <v>0.9668183254341496</v>
      </c>
      <c r="H125" s="3"/>
      <c r="I125" s="3"/>
      <c r="R125" s="13">
        <v>11.95092568622311</v>
      </c>
      <c r="S125" s="13">
        <f t="shared" si="2"/>
        <v>0.0017027183827408655</v>
      </c>
      <c r="T125" s="13">
        <f t="shared" si="3"/>
        <v>2.8992491904529086E-06</v>
      </c>
      <c r="U125" s="14">
        <f t="shared" si="4"/>
        <v>-0.06981331372867317</v>
      </c>
      <c r="V125" s="14">
        <f t="shared" si="5"/>
        <v>-0.004171378357227695</v>
      </c>
      <c r="W125" s="14">
        <f t="shared" si="6"/>
        <v>0.0014927952617966866</v>
      </c>
      <c r="X125" s="14">
        <f t="shared" si="7"/>
        <v>0.0002229160447537737</v>
      </c>
      <c r="Y125" s="14">
        <f t="shared" si="8"/>
        <v>3.8902758856984576E-05</v>
      </c>
      <c r="Z125" s="15">
        <f t="shared" si="9"/>
        <v>-0.07223007802049342</v>
      </c>
      <c r="AE125" s="14"/>
      <c r="AF125" s="14"/>
      <c r="AG125" s="14"/>
      <c r="AH125" s="14"/>
      <c r="AI125" s="14"/>
      <c r="AJ125" s="15"/>
      <c r="AL125" s="1"/>
    </row>
    <row r="126" spans="3:38" ht="12">
      <c r="C126" t="s">
        <v>30</v>
      </c>
      <c r="D126" s="5" t="s">
        <v>18</v>
      </c>
      <c r="E126" s="5">
        <v>11</v>
      </c>
      <c r="F126" s="9"/>
      <c r="G126" s="5">
        <f>D68/D71</f>
        <v>1.0903615652077245</v>
      </c>
      <c r="R126" s="13">
        <v>12.189944199947572</v>
      </c>
      <c r="S126" s="13">
        <f t="shared" si="2"/>
        <v>0.0017367727503956826</v>
      </c>
      <c r="T126" s="13">
        <f t="shared" si="3"/>
        <v>3.0163788283049097E-06</v>
      </c>
      <c r="U126" s="14">
        <f t="shared" si="4"/>
        <v>-0.07269420288874073</v>
      </c>
      <c r="V126" s="14">
        <f t="shared" si="5"/>
        <v>-0.004340369397567656</v>
      </c>
      <c r="W126" s="14">
        <f t="shared" si="6"/>
        <v>0.0015531105949762036</v>
      </c>
      <c r="X126" s="14">
        <f t="shared" si="7"/>
        <v>0.00023192169944863394</v>
      </c>
      <c r="Y126" s="14">
        <f t="shared" si="8"/>
        <v>3.885843020912105E-05</v>
      </c>
      <c r="Z126" s="15">
        <f t="shared" si="9"/>
        <v>-0.07521068156167443</v>
      </c>
      <c r="AE126" s="14"/>
      <c r="AF126" s="14"/>
      <c r="AG126" s="14"/>
      <c r="AH126" s="14"/>
      <c r="AI126" s="14"/>
      <c r="AJ126" s="15"/>
      <c r="AL126" s="1"/>
    </row>
    <row r="127" spans="3:38" ht="12.75">
      <c r="C127" s="17" t="s">
        <v>105</v>
      </c>
      <c r="D127" s="5" t="s">
        <v>19</v>
      </c>
      <c r="E127" s="5">
        <v>12</v>
      </c>
      <c r="F127" s="9"/>
      <c r="G127" s="5">
        <f>D69/D71</f>
        <v>-1.9410178765033228</v>
      </c>
      <c r="R127" s="13">
        <v>12.433743083946524</v>
      </c>
      <c r="S127" s="13">
        <f t="shared" si="2"/>
        <v>0.0017715082054035965</v>
      </c>
      <c r="T127" s="13">
        <f t="shared" si="3"/>
        <v>3.1382405010991407E-06</v>
      </c>
      <c r="U127" s="14">
        <f t="shared" si="4"/>
        <v>-0.0756965238007723</v>
      </c>
      <c r="V127" s="14">
        <f t="shared" si="5"/>
        <v>-0.004516226273857171</v>
      </c>
      <c r="W127" s="14">
        <f t="shared" si="6"/>
        <v>0.0016158631955676128</v>
      </c>
      <c r="X127" s="14">
        <f t="shared" si="7"/>
        <v>0.00024129116993698574</v>
      </c>
      <c r="Y127" s="14">
        <f t="shared" si="8"/>
        <v>3.881231067426327E-05</v>
      </c>
      <c r="Z127" s="15">
        <f t="shared" si="9"/>
        <v>-0.0783167833984506</v>
      </c>
      <c r="AE127" s="14"/>
      <c r="AF127" s="14"/>
      <c r="AG127" s="14"/>
      <c r="AH127" s="14"/>
      <c r="AI127" s="14"/>
      <c r="AJ127" s="15"/>
      <c r="AL127" s="1"/>
    </row>
    <row r="128" spans="3:38" ht="12">
      <c r="C128" s="16"/>
      <c r="D128" s="5" t="s">
        <v>20</v>
      </c>
      <c r="E128" s="5">
        <v>13</v>
      </c>
      <c r="F128" s="9"/>
      <c r="G128" s="5">
        <f>D70/D71</f>
        <v>0.8705251123826027</v>
      </c>
      <c r="R128" s="13">
        <v>12.682417945625454</v>
      </c>
      <c r="S128" s="13">
        <f t="shared" si="2"/>
        <v>0.0018069383695116681</v>
      </c>
      <c r="T128" s="13">
        <f t="shared" si="3"/>
        <v>3.2650253828472032E-06</v>
      </c>
      <c r="U128" s="14">
        <f t="shared" si="4"/>
        <v>-0.07882560600414479</v>
      </c>
      <c r="V128" s="14">
        <f t="shared" si="5"/>
        <v>-0.004699229556813123</v>
      </c>
      <c r="W128" s="14">
        <f t="shared" si="6"/>
        <v>0.001681151572682893</v>
      </c>
      <c r="X128" s="14">
        <f t="shared" si="7"/>
        <v>0.0002510391533370182</v>
      </c>
      <c r="Y128" s="14">
        <f t="shared" si="8"/>
        <v>3.876432790050899E-05</v>
      </c>
      <c r="Z128" s="15">
        <f t="shared" si="9"/>
        <v>-0.08155388050703749</v>
      </c>
      <c r="AE128" s="14"/>
      <c r="AF128" s="14"/>
      <c r="AG128" s="14"/>
      <c r="AH128" s="14"/>
      <c r="AI128" s="14"/>
      <c r="AJ128" s="15"/>
      <c r="AL128" s="1"/>
    </row>
    <row r="129" spans="4:38" ht="12">
      <c r="D129" s="10" t="s">
        <v>21</v>
      </c>
      <c r="E129" s="5">
        <v>14</v>
      </c>
      <c r="F129" s="9"/>
      <c r="G129" s="5">
        <f>D72/D71</f>
        <v>-1.9410178765033228</v>
      </c>
      <c r="R129" s="13">
        <v>12.936066304537963</v>
      </c>
      <c r="S129" s="13">
        <f t="shared" si="2"/>
        <v>0.0018430771369019015</v>
      </c>
      <c r="T129" s="13">
        <f t="shared" si="3"/>
        <v>3.3969323709742805E-06</v>
      </c>
      <c r="U129" s="14">
        <f t="shared" si="4"/>
        <v>-0.08208703028729758</v>
      </c>
      <c r="V129" s="14">
        <f t="shared" si="5"/>
        <v>-0.004889671416385966</v>
      </c>
      <c r="W129" s="14">
        <f t="shared" si="6"/>
        <v>0.0017490782188076537</v>
      </c>
      <c r="X129" s="14">
        <f t="shared" si="7"/>
        <v>0.00026118094043958706</v>
      </c>
      <c r="Y129" s="14">
        <f t="shared" si="8"/>
        <v>3.871440661384895E-05</v>
      </c>
      <c r="Z129" s="15">
        <f t="shared" si="9"/>
        <v>-0.08492772813782246</v>
      </c>
      <c r="AE129" s="14"/>
      <c r="AF129" s="14"/>
      <c r="AG129" s="14"/>
      <c r="AH129" s="14"/>
      <c r="AI129" s="14"/>
      <c r="AJ129" s="15"/>
      <c r="AL129" s="1"/>
    </row>
    <row r="130" spans="4:38" ht="12">
      <c r="D130" s="10" t="s">
        <v>22</v>
      </c>
      <c r="E130" s="5">
        <v>15</v>
      </c>
      <c r="F130" s="9"/>
      <c r="G130" s="5">
        <f>D73/D71</f>
        <v>0.9608866775903272</v>
      </c>
      <c r="R130" s="13">
        <v>13.194787630628722</v>
      </c>
      <c r="S130" s="13">
        <f t="shared" si="2"/>
        <v>0.0018799386796399396</v>
      </c>
      <c r="T130" s="13">
        <f t="shared" si="3"/>
        <v>3.53416839834368E-06</v>
      </c>
      <c r="U130" s="14">
        <f t="shared" si="4"/>
        <v>-0.0854866419292506</v>
      </c>
      <c r="V130" s="14">
        <f t="shared" si="5"/>
        <v>-0.005087856112290012</v>
      </c>
      <c r="W130" s="14">
        <f t="shared" si="6"/>
        <v>0.0018197497709806498</v>
      </c>
      <c r="X130" s="14">
        <f t="shared" si="7"/>
        <v>0.00027173243969258465</v>
      </c>
      <c r="Y130" s="14">
        <f t="shared" si="8"/>
        <v>3.866246849559829E-05</v>
      </c>
      <c r="Z130" s="15">
        <f t="shared" si="9"/>
        <v>-0.08844435336237177</v>
      </c>
      <c r="AE130" s="14"/>
      <c r="AF130" s="14"/>
      <c r="AG130" s="14"/>
      <c r="AH130" s="14"/>
      <c r="AI130" s="14"/>
      <c r="AJ130" s="15"/>
      <c r="AL130" s="1"/>
    </row>
    <row r="131" spans="3:38" ht="12">
      <c r="C131" t="s">
        <v>31</v>
      </c>
      <c r="D131" s="2" t="s">
        <v>18</v>
      </c>
      <c r="E131" s="2">
        <v>16</v>
      </c>
      <c r="F131" s="3"/>
      <c r="G131" s="2">
        <f>E68/E71</f>
        <v>1.7215591549449705</v>
      </c>
      <c r="R131" s="13">
        <v>13.458683383241297</v>
      </c>
      <c r="S131" s="13">
        <f t="shared" si="2"/>
        <v>0.0019175374532327384</v>
      </c>
      <c r="T131" s="13">
        <f t="shared" si="3"/>
        <v>3.6769487578870634E-06</v>
      </c>
      <c r="U131" s="14">
        <f t="shared" si="4"/>
        <v>-0.08903056474780158</v>
      </c>
      <c r="V131" s="14">
        <f t="shared" si="5"/>
        <v>-0.005294100506262112</v>
      </c>
      <c r="W131" s="14">
        <f t="shared" si="6"/>
        <v>0.0018932771786452918</v>
      </c>
      <c r="X131" s="14">
        <f t="shared" si="7"/>
        <v>0.0002827102021445427</v>
      </c>
      <c r="Y131" s="14">
        <f t="shared" si="8"/>
        <v>3.860843206560105E-05</v>
      </c>
      <c r="Z131" s="15">
        <f t="shared" si="9"/>
        <v>-0.09211006944120825</v>
      </c>
      <c r="AE131" s="14"/>
      <c r="AF131" s="14"/>
      <c r="AG131" s="14"/>
      <c r="AH131" s="14"/>
      <c r="AI131" s="14"/>
      <c r="AJ131" s="15"/>
      <c r="AL131" s="1"/>
    </row>
    <row r="132" spans="3:38" ht="12.75">
      <c r="C132" s="17" t="s">
        <v>106</v>
      </c>
      <c r="D132" s="2" t="s">
        <v>19</v>
      </c>
      <c r="E132" s="2">
        <v>17</v>
      </c>
      <c r="F132" s="3"/>
      <c r="G132" s="2">
        <f>E69/E71</f>
        <v>-1.2774446315129586</v>
      </c>
      <c r="R132" s="13">
        <v>13.727857050906124</v>
      </c>
      <c r="S132" s="13">
        <f t="shared" si="2"/>
        <v>0.001955888202297393</v>
      </c>
      <c r="T132" s="13">
        <f t="shared" si="3"/>
        <v>3.825497440349616E-06</v>
      </c>
      <c r="U132" s="14">
        <f t="shared" si="4"/>
        <v>-0.09272521601097594</v>
      </c>
      <c r="V132" s="14">
        <f t="shared" si="5"/>
        <v>-0.005508734596794795</v>
      </c>
      <c r="W132" s="14">
        <f t="shared" si="6"/>
        <v>0.0019697758780594654</v>
      </c>
      <c r="X132" s="14">
        <f t="shared" si="7"/>
        <v>0.00029413144739720565</v>
      </c>
      <c r="Y132" s="14">
        <f t="shared" si="8"/>
        <v>3.855221254989161E-05</v>
      </c>
      <c r="Z132" s="15">
        <f t="shared" si="9"/>
        <v>-0.09593149106976417</v>
      </c>
      <c r="AE132" s="14"/>
      <c r="AF132" s="14"/>
      <c r="AG132" s="14"/>
      <c r="AH132" s="14"/>
      <c r="AI132" s="14"/>
      <c r="AJ132" s="15"/>
      <c r="AL132" s="1"/>
    </row>
    <row r="133" spans="3:38" ht="12.75">
      <c r="C133" s="17"/>
      <c r="D133" s="2" t="s">
        <v>20</v>
      </c>
      <c r="E133" s="2">
        <v>18</v>
      </c>
      <c r="F133" s="3"/>
      <c r="G133" s="2">
        <f>E70/E71</f>
        <v>-0.03362015051015249</v>
      </c>
      <c r="R133" s="13">
        <v>14.002414191924247</v>
      </c>
      <c r="S133" s="13">
        <f t="shared" si="2"/>
        <v>0.001995005966343341</v>
      </c>
      <c r="T133" s="13">
        <f t="shared" si="3"/>
        <v>3.980047485679995E-06</v>
      </c>
      <c r="U133" s="14">
        <f t="shared" si="4"/>
        <v>-0.09657732227373117</v>
      </c>
      <c r="V133" s="14">
        <f t="shared" si="5"/>
        <v>-0.005732102077864454</v>
      </c>
      <c r="W133" s="14">
        <f t="shared" si="6"/>
        <v>0.002049365974102102</v>
      </c>
      <c r="X133" s="14">
        <f t="shared" si="7"/>
        <v>0.00030601409060526663</v>
      </c>
      <c r="Y133" s="14">
        <f t="shared" si="8"/>
        <v>3.849372175279697E-05</v>
      </c>
      <c r="Z133" s="15">
        <f t="shared" si="9"/>
        <v>-0.09991555056513546</v>
      </c>
      <c r="AE133" s="14"/>
      <c r="AF133" s="14"/>
      <c r="AG133" s="14"/>
      <c r="AH133" s="14"/>
      <c r="AI133" s="14"/>
      <c r="AJ133" s="15"/>
      <c r="AL133" s="1"/>
    </row>
    <row r="134" spans="4:38" ht="12">
      <c r="D134" s="11" t="s">
        <v>21</v>
      </c>
      <c r="E134" s="2">
        <v>19</v>
      </c>
      <c r="F134" s="3"/>
      <c r="G134" s="2">
        <f>E72/E71</f>
        <v>-1.2774446315129586</v>
      </c>
      <c r="R134" s="13">
        <v>14.282462475762733</v>
      </c>
      <c r="S134" s="13">
        <f t="shared" si="2"/>
        <v>0.0020349060856702083</v>
      </c>
      <c r="T134" s="13">
        <f t="shared" si="3"/>
        <v>4.140841348616271E-06</v>
      </c>
      <c r="U134" s="14">
        <f t="shared" si="4"/>
        <v>-0.10059393620639412</v>
      </c>
      <c r="V134" s="14">
        <f t="shared" si="5"/>
        <v>-0.005964560922322448</v>
      </c>
      <c r="W134" s="14">
        <f t="shared" si="6"/>
        <v>0.0021321724291922806</v>
      </c>
      <c r="X134" s="14">
        <f t="shared" si="7"/>
        <v>0.00031837677056767433</v>
      </c>
      <c r="Y134" s="14">
        <f t="shared" si="8"/>
        <v>3.8432867911719626E-05</v>
      </c>
      <c r="Z134" s="15">
        <f t="shared" si="9"/>
        <v>-0.10406951506104489</v>
      </c>
      <c r="AE134" s="14"/>
      <c r="AF134" s="14"/>
      <c r="AG134" s="14"/>
      <c r="AH134" s="14"/>
      <c r="AI134" s="14"/>
      <c r="AJ134" s="15"/>
      <c r="AL134" s="1"/>
    </row>
    <row r="135" spans="4:38" ht="12">
      <c r="D135" s="11" t="s">
        <v>22</v>
      </c>
      <c r="E135" s="2">
        <v>20</v>
      </c>
      <c r="F135" s="3"/>
      <c r="G135" s="2">
        <f>E73/E71</f>
        <v>0.6879390044348179</v>
      </c>
      <c r="R135" s="13">
        <v>14.568111725277987</v>
      </c>
      <c r="S135" s="13">
        <f t="shared" si="2"/>
        <v>0.0020756042073836124</v>
      </c>
      <c r="T135" s="13">
        <f t="shared" si="3"/>
        <v>4.308131279041406E-06</v>
      </c>
      <c r="U135" s="14">
        <f t="shared" si="4"/>
        <v>-0.10478245448715029</v>
      </c>
      <c r="V135" s="14">
        <f t="shared" si="5"/>
        <v>-0.006206483991547884</v>
      </c>
      <c r="W135" s="14">
        <f t="shared" si="6"/>
        <v>0.0022183252600029846</v>
      </c>
      <c r="X135" s="14">
        <f t="shared" si="7"/>
        <v>0.00033123887895314397</v>
      </c>
      <c r="Y135" s="14">
        <f t="shared" si="8"/>
        <v>3.836955555902577E-05</v>
      </c>
      <c r="Z135" s="15">
        <f t="shared" si="9"/>
        <v>-0.10840100478418302</v>
      </c>
      <c r="AE135" s="14"/>
      <c r="AF135" s="14"/>
      <c r="AG135" s="14"/>
      <c r="AH135" s="14"/>
      <c r="AI135" s="14"/>
      <c r="AJ135" s="15"/>
      <c r="AL135" s="1"/>
    </row>
    <row r="136" spans="3:38" ht="12">
      <c r="C136" t="s">
        <v>32</v>
      </c>
      <c r="D136" s="5" t="s">
        <v>18</v>
      </c>
      <c r="E136" s="5">
        <v>21</v>
      </c>
      <c r="F136" s="9"/>
      <c r="G136" s="5">
        <f>F68/F71</f>
        <v>0.8156607965838399</v>
      </c>
      <c r="R136" s="13">
        <v>14.859473959783546</v>
      </c>
      <c r="S136" s="13">
        <f t="shared" si="2"/>
        <v>0.0021171162915312844</v>
      </c>
      <c r="T136" s="13">
        <f t="shared" si="3"/>
        <v>4.482179717704926E-06</v>
      </c>
      <c r="U136" s="14">
        <f t="shared" si="4"/>
        <v>-0.10915063683683002</v>
      </c>
      <c r="V136" s="14">
        <f t="shared" si="5"/>
        <v>-0.006458259672356803</v>
      </c>
      <c r="W136" s="14">
        <f t="shared" si="6"/>
        <v>0.002307959742118726</v>
      </c>
      <c r="X136" s="14">
        <f t="shared" si="7"/>
        <v>0.00034462059070872186</v>
      </c>
      <c r="Y136" s="14">
        <f t="shared" si="8"/>
        <v>3.830368536883455E-05</v>
      </c>
      <c r="Z136" s="15">
        <f t="shared" si="9"/>
        <v>-0.11291801249099054</v>
      </c>
      <c r="AE136" s="14"/>
      <c r="AF136" s="14"/>
      <c r="AG136" s="14"/>
      <c r="AH136" s="14"/>
      <c r="AI136" s="14"/>
      <c r="AJ136" s="15"/>
      <c r="AL136" s="1"/>
    </row>
    <row r="137" spans="3:38" ht="12.75">
      <c r="C137" s="17" t="s">
        <v>109</v>
      </c>
      <c r="D137" s="5" t="s">
        <v>19</v>
      </c>
      <c r="E137" s="5">
        <v>22</v>
      </c>
      <c r="F137" s="9"/>
      <c r="G137" s="5">
        <f>F69/F71</f>
        <v>-0.23223043079263467</v>
      </c>
      <c r="R137" s="13">
        <v>15.156663438979217</v>
      </c>
      <c r="S137" s="13">
        <f t="shared" si="2"/>
        <v>0.0021594586173619102</v>
      </c>
      <c r="T137" s="13">
        <f t="shared" si="3"/>
        <v>4.663259707931561E-06</v>
      </c>
      <c r="U137" s="14">
        <f t="shared" si="4"/>
        <v>-0.11370662628021933</v>
      </c>
      <c r="V137" s="14">
        <f t="shared" si="5"/>
        <v>-0.006720292542659934</v>
      </c>
      <c r="W137" s="14">
        <f t="shared" si="6"/>
        <v>0.0024012166230491516</v>
      </c>
      <c r="X137" s="14">
        <f t="shared" si="7"/>
        <v>0.0003585428956762726</v>
      </c>
      <c r="Y137" s="14">
        <f t="shared" si="8"/>
        <v>3.823515400558364E-05</v>
      </c>
      <c r="Z137" s="15">
        <f t="shared" si="9"/>
        <v>-0.11762892415014825</v>
      </c>
      <c r="AE137" s="14"/>
      <c r="AF137" s="14"/>
      <c r="AG137" s="14"/>
      <c r="AH137" s="14"/>
      <c r="AI137" s="14"/>
      <c r="AJ137" s="15"/>
      <c r="AL137" s="1"/>
    </row>
    <row r="138" spans="1:38" ht="12.75">
      <c r="A138" t="s">
        <v>67</v>
      </c>
      <c r="B138">
        <f>SQRT(10^((D112)/20))</f>
        <v>1.1329689296300816</v>
      </c>
      <c r="C138" s="17"/>
      <c r="D138" s="5" t="s">
        <v>20</v>
      </c>
      <c r="E138" s="5">
        <v>23</v>
      </c>
      <c r="F138" s="9"/>
      <c r="G138" s="5">
        <f>F70/F71</f>
        <v>0.7802386081857229</v>
      </c>
      <c r="R138" s="13">
        <v>15.459796707758802</v>
      </c>
      <c r="S138" s="13">
        <f t="shared" si="2"/>
        <v>0.002202647789709148</v>
      </c>
      <c r="T138" s="13">
        <f t="shared" si="3"/>
        <v>4.8516553239627126E-06</v>
      </c>
      <c r="U138" s="14">
        <f t="shared" si="4"/>
        <v>-0.11845897072620915</v>
      </c>
      <c r="V138" s="14">
        <f t="shared" si="5"/>
        <v>-0.006993004067197717</v>
      </c>
      <c r="W138" s="14">
        <f t="shared" si="6"/>
        <v>0.002498242343776269</v>
      </c>
      <c r="X138" s="14">
        <f t="shared" si="7"/>
        <v>0.0003730276315225822</v>
      </c>
      <c r="Y138" s="14">
        <f t="shared" si="8"/>
        <v>3.816385395305488E-05</v>
      </c>
      <c r="Z138" s="15">
        <f t="shared" si="9"/>
        <v>-0.12254254096415496</v>
      </c>
      <c r="AE138" s="14"/>
      <c r="AF138" s="14"/>
      <c r="AG138" s="14"/>
      <c r="AH138" s="14"/>
      <c r="AI138" s="14"/>
      <c r="AJ138" s="15"/>
      <c r="AL138" s="1"/>
    </row>
    <row r="139" spans="1:38" ht="12">
      <c r="A139" t="s">
        <v>36</v>
      </c>
      <c r="B139" s="12">
        <f>SQRT(10^((D111)/20))</f>
        <v>0.7269072492825815</v>
      </c>
      <c r="D139" s="10" t="s">
        <v>21</v>
      </c>
      <c r="E139" s="5">
        <v>24</v>
      </c>
      <c r="F139" s="9"/>
      <c r="G139" s="5">
        <f>F72/F71</f>
        <v>-0.23222936133444103</v>
      </c>
      <c r="R139" s="13">
        <v>15.768992641913979</v>
      </c>
      <c r="S139" s="13">
        <f t="shared" si="2"/>
        <v>0.0022467007455033317</v>
      </c>
      <c r="T139" s="13">
        <f t="shared" si="3"/>
        <v>5.047662116602726E-06</v>
      </c>
      <c r="U139" s="14">
        <f t="shared" si="4"/>
        <v>-0.12341664596618784</v>
      </c>
      <c r="V139" s="14">
        <f t="shared" si="5"/>
        <v>-0.007276833324894483</v>
      </c>
      <c r="W139" s="14">
        <f t="shared" si="6"/>
        <v>0.0025991892694605667</v>
      </c>
      <c r="X139" s="14">
        <f t="shared" si="7"/>
        <v>0.00038809751796176073</v>
      </c>
      <c r="Y139" s="14">
        <f t="shared" si="8"/>
        <v>3.8089673354946285E-05</v>
      </c>
      <c r="Z139" s="15">
        <f t="shared" si="9"/>
        <v>-0.12766810283030505</v>
      </c>
      <c r="AE139" s="14"/>
      <c r="AF139" s="14"/>
      <c r="AG139" s="14"/>
      <c r="AH139" s="14"/>
      <c r="AI139" s="14"/>
      <c r="AJ139" s="15"/>
      <c r="AL139" s="1"/>
    </row>
    <row r="140" spans="1:38" ht="12">
      <c r="A140" t="s">
        <v>38</v>
      </c>
      <c r="B140">
        <f>2*PI()*D109/44100</f>
        <v>0.13939107390408204</v>
      </c>
      <c r="D140" s="10" t="s">
        <v>22</v>
      </c>
      <c r="E140" s="5">
        <v>25</v>
      </c>
      <c r="F140" s="9"/>
      <c r="G140" s="5">
        <f>F73/F71</f>
        <v>0.5958920553981265</v>
      </c>
      <c r="R140" s="13">
        <v>16.08437249475226</v>
      </c>
      <c r="S140" s="13">
        <f t="shared" si="2"/>
        <v>0.002291634760413398</v>
      </c>
      <c r="T140" s="13">
        <f t="shared" si="3"/>
        <v>5.251587576869023E-06</v>
      </c>
      <c r="U140" s="14">
        <f t="shared" si="4"/>
        <v>-0.1285890801982248</v>
      </c>
      <c r="V140" s="14">
        <f t="shared" si="5"/>
        <v>-0.007572237769267076</v>
      </c>
      <c r="W140" s="14">
        <f t="shared" si="6"/>
        <v>0.0027042159293628742</v>
      </c>
      <c r="X140" s="14">
        <f t="shared" si="7"/>
        <v>0.00040377619238096685</v>
      </c>
      <c r="Y140" s="14">
        <f t="shared" si="8"/>
        <v>3.8012495837236315E-05</v>
      </c>
      <c r="Z140" s="15">
        <f t="shared" si="9"/>
        <v>-0.1330153133499108</v>
      </c>
      <c r="AE140" s="14"/>
      <c r="AF140" s="14"/>
      <c r="AG140" s="14"/>
      <c r="AH140" s="14"/>
      <c r="AI140" s="14"/>
      <c r="AJ140" s="15"/>
      <c r="AL140" s="1"/>
    </row>
    <row r="141" spans="1:38" ht="12">
      <c r="A141" t="s">
        <v>40</v>
      </c>
      <c r="B141">
        <f>COS(B140)</f>
        <v>0.9903007840698194</v>
      </c>
      <c r="C141" t="s">
        <v>28</v>
      </c>
      <c r="D141" s="2" t="s">
        <v>18</v>
      </c>
      <c r="E141" s="2">
        <v>26</v>
      </c>
      <c r="F141" s="3"/>
      <c r="G141" s="2">
        <f>B186/B189</f>
        <v>0.9930482638949484</v>
      </c>
      <c r="R141" s="13">
        <v>16.406059944647303</v>
      </c>
      <c r="S141" s="13">
        <f t="shared" si="2"/>
        <v>0.002337467455621666</v>
      </c>
      <c r="T141" s="13">
        <f t="shared" si="3"/>
        <v>5.463751618373468E-06</v>
      </c>
      <c r="U141" s="14">
        <f t="shared" si="4"/>
        <v>-0.13398618019516562</v>
      </c>
      <c r="V141" s="14">
        <f t="shared" si="5"/>
        <v>-0.007879694023799289</v>
      </c>
      <c r="W141" s="14">
        <f t="shared" si="6"/>
        <v>0.0028134872666072397</v>
      </c>
      <c r="X141" s="14">
        <f t="shared" si="7"/>
        <v>0.00042008824688988256</v>
      </c>
      <c r="Y141" s="14">
        <f t="shared" si="8"/>
        <v>3.7932200321222354E-05</v>
      </c>
      <c r="Z141" s="15">
        <f t="shared" si="9"/>
        <v>-0.13859436650514656</v>
      </c>
      <c r="AE141" s="14"/>
      <c r="AF141" s="14"/>
      <c r="AG141" s="14"/>
      <c r="AH141" s="14"/>
      <c r="AI141" s="14"/>
      <c r="AJ141" s="15"/>
      <c r="AL141" s="1"/>
    </row>
    <row r="142" spans="1:38" ht="12.75">
      <c r="A142" t="s">
        <v>41</v>
      </c>
      <c r="B142">
        <f>SIN(B140)</f>
        <v>0.1389401204501457</v>
      </c>
      <c r="C142" s="17"/>
      <c r="D142" s="2" t="s">
        <v>19</v>
      </c>
      <c r="E142" s="2">
        <v>27</v>
      </c>
      <c r="F142" s="3"/>
      <c r="G142" s="2">
        <f>B187/B189</f>
        <v>-1.9514063844846812</v>
      </c>
      <c r="R142" s="13">
        <v>16.73418114354025</v>
      </c>
      <c r="S142" s="13">
        <f t="shared" si="2"/>
        <v>0.0023842168047340994</v>
      </c>
      <c r="T142" s="13">
        <f t="shared" si="3"/>
        <v>5.684487079191659E-06</v>
      </c>
      <c r="U142" s="14">
        <f t="shared" si="4"/>
        <v>-0.13961835924352783</v>
      </c>
      <c r="V142" s="14">
        <f t="shared" si="5"/>
        <v>-0.008199698713802661</v>
      </c>
      <c r="W142" s="14">
        <f t="shared" si="6"/>
        <v>0.0029271748980832513</v>
      </c>
      <c r="X142" s="14">
        <f t="shared" si="7"/>
        <v>0.00043705926688630825</v>
      </c>
      <c r="Y142" s="14">
        <f t="shared" si="8"/>
        <v>3.78486608378914E-05</v>
      </c>
      <c r="Z142" s="15">
        <f t="shared" si="9"/>
        <v>-0.14441597513152304</v>
      </c>
      <c r="AE142" s="14"/>
      <c r="AF142" s="14"/>
      <c r="AG142" s="14"/>
      <c r="AH142" s="14"/>
      <c r="AI142" s="14"/>
      <c r="AJ142" s="15"/>
      <c r="AL142" s="1"/>
    </row>
    <row r="143" spans="1:38" ht="12">
      <c r="A143" t="s">
        <v>42</v>
      </c>
      <c r="B143" s="12">
        <f>B142/(2*D110)</f>
        <v>0.0108753311517576</v>
      </c>
      <c r="D143" s="2" t="s">
        <v>20</v>
      </c>
      <c r="E143" s="2">
        <v>28</v>
      </c>
      <c r="F143" s="3"/>
      <c r="G143" s="2">
        <f>B188/B189</f>
        <v>0.9774706086288373</v>
      </c>
      <c r="R143" s="13">
        <v>17.068864766411057</v>
      </c>
      <c r="S143" s="13">
        <f t="shared" si="2"/>
        <v>0.0024319011408287816</v>
      </c>
      <c r="T143" s="13">
        <f t="shared" si="3"/>
        <v>5.914140244007461E-06</v>
      </c>
      <c r="U143" s="14">
        <f t="shared" si="4"/>
        <v>-0.14549656699233537</v>
      </c>
      <c r="V143" s="14">
        <f t="shared" si="5"/>
        <v>-0.008532769336603963</v>
      </c>
      <c r="W143" s="14">
        <f t="shared" si="6"/>
        <v>0.0030454573848643918</v>
      </c>
      <c r="X143" s="14">
        <f t="shared" si="7"/>
        <v>0.0004547158711538657</v>
      </c>
      <c r="Y143" s="14">
        <f t="shared" si="8"/>
        <v>3.776174632807994E-05</v>
      </c>
      <c r="Z143" s="15">
        <f t="shared" si="9"/>
        <v>-0.150491401326593</v>
      </c>
      <c r="AE143" s="14"/>
      <c r="AF143" s="14"/>
      <c r="AG143" s="14"/>
      <c r="AH143" s="14"/>
      <c r="AI143" s="14"/>
      <c r="AJ143" s="15"/>
      <c r="AL143" s="1"/>
    </row>
    <row r="144" spans="4:38" ht="12">
      <c r="D144" s="11" t="s">
        <v>21</v>
      </c>
      <c r="E144" s="2">
        <v>29</v>
      </c>
      <c r="F144" s="3"/>
      <c r="G144" s="2">
        <f>B190/B189</f>
        <v>-1.9514063844846812</v>
      </c>
      <c r="R144" s="13">
        <v>17.41024206173928</v>
      </c>
      <c r="S144" s="13">
        <f t="shared" si="2"/>
        <v>0.0024805391636453576</v>
      </c>
      <c r="T144" s="13">
        <f t="shared" si="3"/>
        <v>6.153071387351864E-06</v>
      </c>
      <c r="U144" s="14">
        <f t="shared" si="4"/>
        <v>-0.15163232136239913</v>
      </c>
      <c r="V144" s="14">
        <f t="shared" si="5"/>
        <v>-0.008879445172318867</v>
      </c>
      <c r="W144" s="14">
        <f t="shared" si="6"/>
        <v>0.0031685205136753325</v>
      </c>
      <c r="X144" s="14">
        <f t="shared" si="7"/>
        <v>0.00047308575359217286</v>
      </c>
      <c r="Y144" s="14">
        <f t="shared" si="8"/>
        <v>3.767132043863697E-05</v>
      </c>
      <c r="Z144" s="15">
        <f t="shared" si="9"/>
        <v>-0.15683248894701185</v>
      </c>
      <c r="AE144" s="14"/>
      <c r="AF144" s="14"/>
      <c r="AG144" s="14"/>
      <c r="AH144" s="14"/>
      <c r="AI144" s="14"/>
      <c r="AJ144" s="15"/>
      <c r="AL144" s="1"/>
    </row>
    <row r="145" spans="4:38" ht="12">
      <c r="D145" s="11" t="s">
        <v>22</v>
      </c>
      <c r="E145" s="2">
        <v>30</v>
      </c>
      <c r="F145" s="3"/>
      <c r="G145" s="2">
        <f>B191/B189</f>
        <v>0.9705188725237855</v>
      </c>
      <c r="R145" s="13">
        <v>17.758446902974065</v>
      </c>
      <c r="S145" s="13">
        <f t="shared" si="2"/>
        <v>0.002530149946918265</v>
      </c>
      <c r="T145" s="13">
        <f t="shared" si="3"/>
        <v>6.401655338788327E-06</v>
      </c>
      <c r="U145" s="14">
        <f t="shared" si="4"/>
        <v>-0.15803774268073312</v>
      </c>
      <c r="V145" s="14">
        <f t="shared" si="5"/>
        <v>-0.00924028823688161</v>
      </c>
      <c r="W145" s="14">
        <f t="shared" si="6"/>
        <v>0.0032965575897350163</v>
      </c>
      <c r="X145" s="14">
        <f t="shared" si="7"/>
        <v>0.0004921977266292288</v>
      </c>
      <c r="Y145" s="14">
        <f t="shared" si="8"/>
        <v>3.7577241306596676E-05</v>
      </c>
      <c r="Z145" s="15">
        <f t="shared" si="9"/>
        <v>-0.1634516983599439</v>
      </c>
      <c r="AE145" s="14"/>
      <c r="AF145" s="14"/>
      <c r="AG145" s="14"/>
      <c r="AH145" s="14"/>
      <c r="AI145" s="14"/>
      <c r="AJ145" s="15"/>
      <c r="AL145" s="1"/>
    </row>
    <row r="146" spans="1:38" ht="12">
      <c r="A146" t="s">
        <v>43</v>
      </c>
      <c r="B146" s="12">
        <f>B138^2*(1-B141)/2</f>
        <v>0.0062250469649094385</v>
      </c>
      <c r="C146" t="s">
        <v>4</v>
      </c>
      <c r="D146" s="5" t="s">
        <v>18</v>
      </c>
      <c r="E146" s="5">
        <v>31</v>
      </c>
      <c r="F146" s="9"/>
      <c r="G146" s="5">
        <f>B196</f>
        <v>1.1452686911783592</v>
      </c>
      <c r="R146" s="13">
        <v>18.113615841033546</v>
      </c>
      <c r="S146" s="13">
        <f t="shared" si="2"/>
        <v>0.00258075294585663</v>
      </c>
      <c r="T146" s="13">
        <f t="shared" si="3"/>
        <v>6.660282070931285E-06</v>
      </c>
      <c r="U146" s="14">
        <f t="shared" si="4"/>
        <v>-0.16472559021899258</v>
      </c>
      <c r="V146" s="14">
        <f t="shared" si="5"/>
        <v>-0.009615884279845943</v>
      </c>
      <c r="W146" s="14">
        <f t="shared" si="6"/>
        <v>0.0034297697416150186</v>
      </c>
      <c r="X146" s="14">
        <f t="shared" si="7"/>
        <v>0.0005120817663870625</v>
      </c>
      <c r="Y146" s="14">
        <f t="shared" si="8"/>
        <v>3.7479361339354256E-05</v>
      </c>
      <c r="Z146" s="15">
        <f t="shared" si="9"/>
        <v>-0.1703621436294971</v>
      </c>
      <c r="AE146" s="14"/>
      <c r="AF146" s="14"/>
      <c r="AG146" s="14"/>
      <c r="AH146" s="14"/>
      <c r="AI146" s="14"/>
      <c r="AJ146" s="15"/>
      <c r="AL146" s="1"/>
    </row>
    <row r="147" spans="1:38" ht="12">
      <c r="A147" t="s">
        <v>44</v>
      </c>
      <c r="B147" s="12">
        <f>B138^2*(1-B141)</f>
        <v>0.012450093929818877</v>
      </c>
      <c r="C147" t="s">
        <v>94</v>
      </c>
      <c r="D147" s="5" t="s">
        <v>19</v>
      </c>
      <c r="E147" s="5">
        <v>32</v>
      </c>
      <c r="F147" s="9"/>
      <c r="G147" s="5">
        <f>B197</f>
        <v>-1.9592243501297888</v>
      </c>
      <c r="R147" s="13">
        <v>18.475888157854218</v>
      </c>
      <c r="S147" s="13">
        <f t="shared" si="2"/>
        <v>0.002632368004773763</v>
      </c>
      <c r="T147" s="13">
        <f t="shared" si="3"/>
        <v>6.929357311220175E-06</v>
      </c>
      <c r="U147" s="14">
        <f t="shared" si="4"/>
        <v>-0.17170930133110573</v>
      </c>
      <c r="V147" s="14">
        <f t="shared" si="5"/>
        <v>-0.010006843828996637</v>
      </c>
      <c r="W147" s="14">
        <f t="shared" si="6"/>
        <v>0.003568366238404508</v>
      </c>
      <c r="X147" s="14">
        <f t="shared" si="7"/>
        <v>0.0005327690596628187</v>
      </c>
      <c r="Y147" s="14">
        <f t="shared" si="8"/>
        <v>3.737752697752228E-05</v>
      </c>
      <c r="Z147" s="15">
        <f t="shared" si="9"/>
        <v>-0.17757763233505752</v>
      </c>
      <c r="AE147" s="14"/>
      <c r="AF147" s="14"/>
      <c r="AG147" s="14"/>
      <c r="AH147" s="14"/>
      <c r="AI147" s="14"/>
      <c r="AJ147" s="15"/>
      <c r="AL147" s="1"/>
    </row>
    <row r="148" spans="1:38" ht="12">
      <c r="A148" t="s">
        <v>45</v>
      </c>
      <c r="B148" s="12">
        <f>B138^2*((1-B141)/2)</f>
        <v>0.0062250469649094385</v>
      </c>
      <c r="D148" s="5" t="s">
        <v>20</v>
      </c>
      <c r="E148" s="5">
        <v>33</v>
      </c>
      <c r="F148" s="9"/>
      <c r="G148" s="5">
        <f>B198</f>
        <v>0.8331447178043173</v>
      </c>
      <c r="R148" s="13">
        <v>18.845405921011302</v>
      </c>
      <c r="S148" s="13">
        <f t="shared" si="2"/>
        <v>0.002685015364869238</v>
      </c>
      <c r="T148" s="13">
        <f t="shared" si="3"/>
        <v>7.209303178408696E-06</v>
      </c>
      <c r="U148" s="14">
        <f t="shared" si="4"/>
        <v>-0.1790030334034185</v>
      </c>
      <c r="V148" s="14">
        <f t="shared" si="5"/>
        <v>-0.010413803284578194</v>
      </c>
      <c r="W148" s="14">
        <f t="shared" si="6"/>
        <v>0.003712564819792874</v>
      </c>
      <c r="X148" s="14">
        <f t="shared" si="7"/>
        <v>0.0005542920528149864</v>
      </c>
      <c r="Y148" s="14">
        <f t="shared" si="8"/>
        <v>3.727157846222795E-05</v>
      </c>
      <c r="Z148" s="15">
        <f t="shared" si="9"/>
        <v>-0.1851127082369266</v>
      </c>
      <c r="AE148" s="14"/>
      <c r="AF148" s="14"/>
      <c r="AG148" s="14"/>
      <c r="AH148" s="14"/>
      <c r="AI148" s="14"/>
      <c r="AJ148" s="15"/>
      <c r="AL148" s="1"/>
    </row>
    <row r="149" spans="1:38" ht="12">
      <c r="A149" t="s">
        <v>47</v>
      </c>
      <c r="B149">
        <f>1+B143</f>
        <v>1.0108753311517575</v>
      </c>
      <c r="D149" s="10" t="s">
        <v>21</v>
      </c>
      <c r="E149" s="5">
        <v>34</v>
      </c>
      <c r="F149" s="9"/>
      <c r="G149" s="5">
        <f>B199</f>
        <v>-1.9592243501297888</v>
      </c>
      <c r="R149" s="13">
        <v>19.222314039431527</v>
      </c>
      <c r="S149" s="13">
        <f t="shared" si="2"/>
        <v>0.0027387156721666228</v>
      </c>
      <c r="T149" s="13">
        <f t="shared" si="3"/>
        <v>7.500558844767805E-06</v>
      </c>
      <c r="U149" s="14">
        <f t="shared" si="4"/>
        <v>-0.18662170884955742</v>
      </c>
      <c r="V149" s="14">
        <f t="shared" si="5"/>
        <v>-0.010837426065471334</v>
      </c>
      <c r="W149" s="14">
        <f t="shared" si="6"/>
        <v>0.003862592039688195</v>
      </c>
      <c r="X149" s="14">
        <f t="shared" si="7"/>
        <v>0.0005766845026133893</v>
      </c>
      <c r="Y149" s="14">
        <f t="shared" si="8"/>
        <v>3.716134957620909E-05</v>
      </c>
      <c r="Z149" s="15">
        <f t="shared" si="9"/>
        <v>-0.19298269702315096</v>
      </c>
      <c r="AE149" s="14"/>
      <c r="AF149" s="14"/>
      <c r="AG149" s="14"/>
      <c r="AH149" s="14"/>
      <c r="AI149" s="14"/>
      <c r="AJ149" s="15"/>
      <c r="AL149" s="1"/>
    </row>
    <row r="150" spans="1:38" ht="12">
      <c r="A150" t="s">
        <v>48</v>
      </c>
      <c r="B150" s="12">
        <f>-2*B141</f>
        <v>-1.9806015681396387</v>
      </c>
      <c r="D150" s="10" t="s">
        <v>22</v>
      </c>
      <c r="E150" s="5">
        <v>35</v>
      </c>
      <c r="F150" s="9"/>
      <c r="G150" s="5">
        <f>B200</f>
        <v>0.9784134089826766</v>
      </c>
      <c r="R150" s="13">
        <v>19.606760320220157</v>
      </c>
      <c r="S150" s="13">
        <f t="shared" si="2"/>
        <v>0.002793489985609955</v>
      </c>
      <c r="T150" s="13">
        <f t="shared" si="3"/>
        <v>7.803581225041166E-06</v>
      </c>
      <c r="U150" s="14">
        <f t="shared" si="4"/>
        <v>-0.19458106340461256</v>
      </c>
      <c r="V150" s="14">
        <f t="shared" si="5"/>
        <v>-0.011278403810088378</v>
      </c>
      <c r="W150" s="14">
        <f t="shared" si="6"/>
        <v>0.004018683623684183</v>
      </c>
      <c r="X150" s="14">
        <f t="shared" si="7"/>
        <v>0.0005999815291506394</v>
      </c>
      <c r="Y150" s="14">
        <f t="shared" si="8"/>
        <v>3.704666738935103E-05</v>
      </c>
      <c r="Z150" s="15">
        <f t="shared" si="9"/>
        <v>-0.20120375539447677</v>
      </c>
      <c r="AE150" s="14"/>
      <c r="AF150" s="14"/>
      <c r="AG150" s="14"/>
      <c r="AH150" s="14"/>
      <c r="AI150" s="14"/>
      <c r="AJ150" s="15"/>
      <c r="AL150" s="1"/>
    </row>
    <row r="151" spans="1:38" ht="12">
      <c r="A151" t="s">
        <v>46</v>
      </c>
      <c r="B151">
        <f>1-B143</f>
        <v>0.9891246688482423</v>
      </c>
      <c r="C151" t="s">
        <v>5</v>
      </c>
      <c r="D151" s="2" t="s">
        <v>18</v>
      </c>
      <c r="E151" s="2">
        <v>36</v>
      </c>
      <c r="F151" s="3"/>
      <c r="G151" s="2">
        <v>1.029078483581543</v>
      </c>
      <c r="R151" s="13">
        <v>19.998895526624562</v>
      </c>
      <c r="S151" s="13">
        <f t="shared" si="2"/>
        <v>0.002849359785322154</v>
      </c>
      <c r="T151" s="13">
        <f t="shared" si="3"/>
        <v>8.118845693233882E-06</v>
      </c>
      <c r="U151" s="14">
        <f t="shared" si="4"/>
        <v>-0.2028976979960646</v>
      </c>
      <c r="V151" s="14">
        <f t="shared" si="5"/>
        <v>-0.011737457635192072</v>
      </c>
      <c r="W151" s="14">
        <f t="shared" si="6"/>
        <v>0.004181084841171412</v>
      </c>
      <c r="X151" s="14">
        <f t="shared" si="7"/>
        <v>0.0006242196708798886</v>
      </c>
      <c r="Y151" s="14">
        <f t="shared" si="8"/>
        <v>3.6927351984683554E-05</v>
      </c>
      <c r="Z151" s="15">
        <f t="shared" si="9"/>
        <v>-0.2097929237672207</v>
      </c>
      <c r="AE151" s="14"/>
      <c r="AF151" s="14"/>
      <c r="AG151" s="14"/>
      <c r="AH151" s="14"/>
      <c r="AI151" s="14"/>
      <c r="AJ151" s="15"/>
      <c r="AL151" s="1"/>
    </row>
    <row r="152" spans="4:38" ht="12">
      <c r="D152" s="2" t="s">
        <v>19</v>
      </c>
      <c r="E152" s="2">
        <v>37</v>
      </c>
      <c r="F152" s="3"/>
      <c r="G152" s="2">
        <v>-1.0814294815063477</v>
      </c>
      <c r="R152" s="13">
        <v>20.398873437157054</v>
      </c>
      <c r="S152" s="13">
        <f t="shared" si="2"/>
        <v>0.002906346981028597</v>
      </c>
      <c r="T152" s="13">
        <f t="shared" si="3"/>
        <v>8.446846828358899E-06</v>
      </c>
      <c r="U152" s="14">
        <f t="shared" si="4"/>
        <v>-0.2115891344958527</v>
      </c>
      <c r="V152" s="14">
        <f t="shared" si="5"/>
        <v>-0.012215339455423191</v>
      </c>
      <c r="W152" s="14">
        <f t="shared" si="6"/>
        <v>0.00435005089261864</v>
      </c>
      <c r="X152" s="14">
        <f t="shared" si="7"/>
        <v>0.0006494369418721391</v>
      </c>
      <c r="Y152" s="14">
        <f t="shared" si="8"/>
        <v>3.6803216172831554E-05</v>
      </c>
      <c r="Z152" s="15">
        <f t="shared" si="9"/>
        <v>-0.21876818290061228</v>
      </c>
      <c r="AE152" s="14"/>
      <c r="AF152" s="14"/>
      <c r="AG152" s="14"/>
      <c r="AH152" s="14"/>
      <c r="AI152" s="14"/>
      <c r="AJ152" s="15"/>
      <c r="AL152" s="1"/>
    </row>
    <row r="153" spans="4:38" ht="12">
      <c r="D153" s="2" t="s">
        <v>20</v>
      </c>
      <c r="E153" s="2">
        <v>38</v>
      </c>
      <c r="F153" s="3"/>
      <c r="G153" s="2">
        <v>0.057410240173339844</v>
      </c>
      <c r="R153" s="13">
        <v>20.806850905900195</v>
      </c>
      <c r="S153" s="13">
        <f t="shared" si="2"/>
        <v>0.0029644739206491693</v>
      </c>
      <c r="T153" s="13">
        <f t="shared" si="3"/>
        <v>8.788099190310902E-06</v>
      </c>
      <c r="U153" s="14">
        <f t="shared" si="4"/>
        <v>-0.22067387568624497</v>
      </c>
      <c r="V153" s="14">
        <f t="shared" si="5"/>
        <v>-0.012712833367075405</v>
      </c>
      <c r="W153" s="14">
        <f t="shared" si="6"/>
        <v>0.004525847312613962</v>
      </c>
      <c r="X153" s="14">
        <f t="shared" si="7"/>
        <v>0.0006756728913970278</v>
      </c>
      <c r="Y153" s="14">
        <f t="shared" si="8"/>
        <v>3.6674065206465656E-05</v>
      </c>
      <c r="Z153" s="15">
        <f t="shared" si="9"/>
        <v>-0.22814851478410292</v>
      </c>
      <c r="AE153" s="14"/>
      <c r="AF153" s="14"/>
      <c r="AG153" s="14"/>
      <c r="AH153" s="14"/>
      <c r="AI153" s="14"/>
      <c r="AJ153" s="15"/>
      <c r="AL153" s="1"/>
    </row>
    <row r="154" spans="1:38" ht="12">
      <c r="A154" t="s">
        <v>49</v>
      </c>
      <c r="B154" s="12">
        <f>B138^2*(1+B141)/2</f>
        <v>1.2773935485422232</v>
      </c>
      <c r="D154" s="11" t="s">
        <v>21</v>
      </c>
      <c r="E154" s="2">
        <v>39</v>
      </c>
      <c r="F154" s="3"/>
      <c r="G154" s="2">
        <v>-1.319993019104004</v>
      </c>
      <c r="R154" s="13">
        <v>21.2229879240182</v>
      </c>
      <c r="S154" s="13">
        <f t="shared" si="2"/>
        <v>0.0030237633990621523</v>
      </c>
      <c r="T154" s="13">
        <f t="shared" si="3"/>
        <v>9.143138127084842E-06</v>
      </c>
      <c r="U154" s="14">
        <f t="shared" si="4"/>
        <v>-0.23017146980440373</v>
      </c>
      <c r="V154" s="14">
        <f t="shared" si="5"/>
        <v>-0.01323075709962751</v>
      </c>
      <c r="W154" s="14">
        <f t="shared" si="6"/>
        <v>0.004708750389305294</v>
      </c>
      <c r="X154" s="14">
        <f t="shared" si="7"/>
        <v>0.0007029686658901468</v>
      </c>
      <c r="Y154" s="14">
        <f t="shared" si="8"/>
        <v>3.653969646766342E-05</v>
      </c>
      <c r="Z154" s="15">
        <f t="shared" si="9"/>
        <v>-0.23795396815236813</v>
      </c>
      <c r="AE154" s="14"/>
      <c r="AF154" s="14"/>
      <c r="AG154" s="14"/>
      <c r="AH154" s="14"/>
      <c r="AI154" s="14"/>
      <c r="AJ154" s="15"/>
      <c r="AL154" s="1"/>
    </row>
    <row r="155" spans="1:38" ht="12">
      <c r="A155" t="s">
        <v>50</v>
      </c>
      <c r="B155" s="12">
        <f>B138^2*-(1+B141)</f>
        <v>-2.5547870970844464</v>
      </c>
      <c r="D155" s="11" t="s">
        <v>22</v>
      </c>
      <c r="E155" s="2">
        <v>40</v>
      </c>
      <c r="F155" s="3"/>
      <c r="G155" s="2">
        <v>0.32817935943603516</v>
      </c>
      <c r="R155" s="13">
        <v>21.647447682498562</v>
      </c>
      <c r="S155" s="13">
        <f t="shared" si="2"/>
        <v>0.0030842386670433958</v>
      </c>
      <c r="T155" s="13">
        <f t="shared" si="3"/>
        <v>9.512520614605355E-06</v>
      </c>
      <c r="U155" s="14">
        <f t="shared" si="4"/>
        <v>-0.24010258006552476</v>
      </c>
      <c r="V155" s="14">
        <f t="shared" si="5"/>
        <v>-0.013769963538543095</v>
      </c>
      <c r="W155" s="14">
        <f t="shared" si="6"/>
        <v>0.004899047601043094</v>
      </c>
      <c r="X155" s="14">
        <f t="shared" si="7"/>
        <v>0.000731367073426803</v>
      </c>
      <c r="Y155" s="14">
        <f t="shared" si="8"/>
        <v>3.639989914994146E-05</v>
      </c>
      <c r="Z155" s="15">
        <f t="shared" si="9"/>
        <v>-0.24820572903044802</v>
      </c>
      <c r="AE155" s="14"/>
      <c r="AF155" s="14"/>
      <c r="AG155" s="14"/>
      <c r="AH155" s="14"/>
      <c r="AI155" s="14"/>
      <c r="AJ155" s="15"/>
      <c r="AL155" s="1"/>
    </row>
    <row r="156" spans="1:38" ht="12">
      <c r="A156" t="s">
        <v>51</v>
      </c>
      <c r="B156" s="12">
        <f>B138^2*(1+B141)/2</f>
        <v>1.2773935485422232</v>
      </c>
      <c r="C156" t="s">
        <v>6</v>
      </c>
      <c r="D156" s="5" t="s">
        <v>18</v>
      </c>
      <c r="E156" s="5">
        <v>41</v>
      </c>
      <c r="F156" s="9"/>
      <c r="G156" s="5">
        <v>0.8476543426513672</v>
      </c>
      <c r="R156" s="13">
        <v>22.080396636148535</v>
      </c>
      <c r="S156" s="13">
        <f t="shared" si="2"/>
        <v>0.003145923440384264</v>
      </c>
      <c r="T156" s="13">
        <f t="shared" si="3"/>
        <v>9.896826130484437E-06</v>
      </c>
      <c r="U156" s="14">
        <f t="shared" si="4"/>
        <v>-0.25048905960338175</v>
      </c>
      <c r="V156" s="14">
        <f t="shared" si="5"/>
        <v>-0.014331342323650631</v>
      </c>
      <c r="W156" s="14">
        <f t="shared" si="6"/>
        <v>0.00509703807074402</v>
      </c>
      <c r="X156" s="14">
        <f t="shared" si="7"/>
        <v>0.0007609126508016928</v>
      </c>
      <c r="Y156" s="14">
        <f t="shared" si="8"/>
        <v>3.625445393495852E-05</v>
      </c>
      <c r="Z156" s="15">
        <f t="shared" si="9"/>
        <v>-0.2589261967515517</v>
      </c>
      <c r="AE156" s="14"/>
      <c r="AF156" s="14"/>
      <c r="AG156" s="14"/>
      <c r="AH156" s="14"/>
      <c r="AI156" s="14"/>
      <c r="AJ156" s="15"/>
      <c r="AL156" s="1"/>
    </row>
    <row r="157" spans="1:38" ht="12">
      <c r="A157" t="s">
        <v>52</v>
      </c>
      <c r="B157">
        <f>1+B143</f>
        <v>1.0108753311517575</v>
      </c>
      <c r="D157" s="5" t="s">
        <v>19</v>
      </c>
      <c r="E157" s="5">
        <v>42</v>
      </c>
      <c r="F157" s="9"/>
      <c r="G157" s="5">
        <v>-1.3982982635498047</v>
      </c>
      <c r="R157" s="13">
        <v>22.522004568871505</v>
      </c>
      <c r="S157" s="13">
        <f t="shared" si="2"/>
        <v>0.0032088419091919488</v>
      </c>
      <c r="T157" s="13">
        <f t="shared" si="3"/>
        <v>1.0296657563078087E-05</v>
      </c>
      <c r="U157" s="14">
        <f t="shared" si="4"/>
        <v>-0.2613540323103365</v>
      </c>
      <c r="V157" s="14">
        <f t="shared" si="5"/>
        <v>-0.014915821527189621</v>
      </c>
      <c r="W157" s="14">
        <f t="shared" si="6"/>
        <v>0.0053030330388281754</v>
      </c>
      <c r="X157" s="14">
        <f t="shared" si="7"/>
        <v>0.0007916517333077522</v>
      </c>
      <c r="Y157" s="14">
        <f t="shared" si="8"/>
        <v>3.610313263813225E-05</v>
      </c>
      <c r="Z157" s="15">
        <f t="shared" si="9"/>
        <v>-0.27013906593275205</v>
      </c>
      <c r="AE157" s="14"/>
      <c r="AF157" s="14"/>
      <c r="AG157" s="14"/>
      <c r="AH157" s="14"/>
      <c r="AI157" s="14"/>
      <c r="AJ157" s="15"/>
      <c r="AL157" s="1"/>
    </row>
    <row r="158" spans="1:26" ht="12">
      <c r="A158" t="s">
        <v>53</v>
      </c>
      <c r="B158" s="12">
        <f>-2*B141</f>
        <v>-1.9806015681396387</v>
      </c>
      <c r="D158" s="5" t="s">
        <v>20</v>
      </c>
      <c r="E158" s="5">
        <v>43</v>
      </c>
      <c r="F158" s="9"/>
      <c r="G158" s="5">
        <v>0.6428365707397461</v>
      </c>
      <c r="R158" s="13">
        <v>22.972444660248936</v>
      </c>
      <c r="S158" s="13">
        <f t="shared" si="2"/>
        <v>0.0032730187473757884</v>
      </c>
      <c r="T158" s="13">
        <f t="shared" si="3"/>
        <v>1.0712642157267884E-05</v>
      </c>
      <c r="U158" s="14">
        <f t="shared" si="4"/>
        <v>-0.27272198010618354</v>
      </c>
      <c r="V158" s="14">
        <f t="shared" si="5"/>
        <v>-0.01552436941596369</v>
      </c>
      <c r="W158" s="14">
        <f t="shared" si="6"/>
        <v>0.005517356355532854</v>
      </c>
      <c r="X158" s="14">
        <f t="shared" si="7"/>
        <v>0.0008236325273225376</v>
      </c>
      <c r="Y158" s="14">
        <f t="shared" si="8"/>
        <v>3.594569786002921E-05</v>
      </c>
      <c r="Z158" s="15">
        <f t="shared" si="9"/>
        <v>-0.2818694149414318</v>
      </c>
    </row>
    <row r="159" spans="1:26" ht="12">
      <c r="A159" t="s">
        <v>54</v>
      </c>
      <c r="B159">
        <f>1-B143</f>
        <v>0.9891246688482423</v>
      </c>
      <c r="D159" s="10" t="s">
        <v>21</v>
      </c>
      <c r="E159" s="5">
        <v>44</v>
      </c>
      <c r="F159" s="9"/>
      <c r="G159" s="5">
        <v>-1.7774972915649414</v>
      </c>
      <c r="R159" s="13">
        <v>23.431893553453914</v>
      </c>
      <c r="S159" s="13">
        <f t="shared" si="2"/>
        <v>0.003338479122323304</v>
      </c>
      <c r="T159" s="13">
        <f t="shared" si="3"/>
        <v>1.1145432498451062E-05</v>
      </c>
      <c r="U159" s="14">
        <f t="shared" si="4"/>
        <v>-0.28461883721848835</v>
      </c>
      <c r="V159" s="14">
        <f t="shared" si="5"/>
        <v>-0.01615799630251047</v>
      </c>
      <c r="W159" s="14">
        <f t="shared" si="6"/>
        <v>0.005740344993270696</v>
      </c>
      <c r="X159" s="14">
        <f t="shared" si="7"/>
        <v>0.000856905185845136</v>
      </c>
      <c r="Y159" s="14">
        <f t="shared" si="8"/>
        <v>3.578190260622449E-05</v>
      </c>
      <c r="Z159" s="15">
        <f t="shared" si="9"/>
        <v>-0.29414380143927676</v>
      </c>
    </row>
    <row r="160" spans="4:26" ht="12">
      <c r="D160" s="10" t="s">
        <v>22</v>
      </c>
      <c r="E160" s="5">
        <v>45</v>
      </c>
      <c r="F160" s="9"/>
      <c r="G160" s="5">
        <v>0.8691482543945312</v>
      </c>
      <c r="R160" s="13">
        <v>23.900531424522992</v>
      </c>
      <c r="S160" s="13">
        <f t="shared" si="2"/>
        <v>0.00340524870476977</v>
      </c>
      <c r="T160" s="13">
        <f t="shared" si="3"/>
        <v>1.1595707536282767E-05</v>
      </c>
      <c r="U160" s="14">
        <f t="shared" si="4"/>
        <v>-0.29707209211512975</v>
      </c>
      <c r="V160" s="14">
        <f t="shared" si="5"/>
        <v>-0.016817756490425495</v>
      </c>
      <c r="W160" s="14">
        <f t="shared" si="6"/>
        <v>0.005972349579927538</v>
      </c>
      <c r="X160" s="14">
        <f t="shared" si="7"/>
        <v>0.0008915218870475528</v>
      </c>
      <c r="Y160" s="14">
        <f t="shared" si="8"/>
        <v>3.5611489904940896E-05</v>
      </c>
      <c r="Z160" s="15">
        <f t="shared" si="9"/>
        <v>-0.3069903656486752</v>
      </c>
    </row>
    <row r="161" spans="3:26" ht="12">
      <c r="C161" t="s">
        <v>7</v>
      </c>
      <c r="D161" s="2" t="s">
        <v>18</v>
      </c>
      <c r="E161" s="2">
        <v>46</v>
      </c>
      <c r="F161" s="3"/>
      <c r="G161" s="2">
        <v>1.0084399188751516</v>
      </c>
      <c r="R161" s="13">
        <v>24.37854205301345</v>
      </c>
      <c r="S161" s="13">
        <f t="shared" si="2"/>
        <v>0.0034733536788651652</v>
      </c>
      <c r="T161" s="13">
        <f t="shared" si="3"/>
        <v>1.2064173649776179E-05</v>
      </c>
      <c r="U161" s="14">
        <f t="shared" si="4"/>
        <v>-0.31011089779541123</v>
      </c>
      <c r="V161" s="14">
        <f t="shared" si="5"/>
        <v>-0.017504750319289997</v>
      </c>
      <c r="W161" s="14">
        <f t="shared" si="6"/>
        <v>0.006213734953988137</v>
      </c>
      <c r="X161" s="14">
        <f t="shared" si="7"/>
        <v>0.0009275369160191005</v>
      </c>
      <c r="Y161" s="14">
        <f t="shared" si="8"/>
        <v>3.543419240115142E-05</v>
      </c>
      <c r="Z161" s="15">
        <f t="shared" si="9"/>
        <v>-0.32043894205229284</v>
      </c>
    </row>
    <row r="162" spans="1:26" ht="12">
      <c r="A162" t="s">
        <v>55</v>
      </c>
      <c r="B162" s="12">
        <f>B138^2*(B139*((B139+1)+(B139-1)*B141+2*SQRT(B139)*B143))</f>
        <v>1.3762878399579748</v>
      </c>
      <c r="D162" s="2" t="s">
        <v>19</v>
      </c>
      <c r="E162" s="2">
        <v>47</v>
      </c>
      <c r="F162" s="3"/>
      <c r="G162" s="2">
        <v>-1.994599000969469</v>
      </c>
      <c r="R162" s="13">
        <v>24.86611289407372</v>
      </c>
      <c r="S162" s="13">
        <f t="shared" si="2"/>
        <v>0.003542820752442468</v>
      </c>
      <c r="T162" s="13">
        <f t="shared" si="3"/>
        <v>1.2551565755431468E-05</v>
      </c>
      <c r="U162" s="14">
        <f t="shared" si="4"/>
        <v>-0.32376619121774297</v>
      </c>
      <c r="V162" s="14">
        <f t="shared" si="5"/>
        <v>-0.018220126315050322</v>
      </c>
      <c r="W162" s="14">
        <f t="shared" si="6"/>
        <v>0.0064648807424347865</v>
      </c>
      <c r="X162" s="14">
        <f t="shared" si="7"/>
        <v>0.000965006749790831</v>
      </c>
      <c r="Y162" s="14">
        <f t="shared" si="8"/>
        <v>3.524973193913539E-05</v>
      </c>
      <c r="Z162" s="15">
        <f t="shared" si="9"/>
        <v>-0.33452118030862854</v>
      </c>
    </row>
    <row r="163" spans="1:26" ht="12">
      <c r="A163" t="s">
        <v>56</v>
      </c>
      <c r="B163" s="12">
        <f>B138^2*(-2*B139*((B139-1)+(B139+1)*B141))</f>
        <v>-2.6817689813209373</v>
      </c>
      <c r="D163" s="2" t="s">
        <v>20</v>
      </c>
      <c r="E163" s="2">
        <v>48</v>
      </c>
      <c r="F163" s="3"/>
      <c r="G163" s="2">
        <v>0.9896845435970368</v>
      </c>
      <c r="R163" s="13">
        <v>25.363435151955194</v>
      </c>
      <c r="S163" s="13">
        <f t="shared" si="2"/>
        <v>0.0036136771674913177</v>
      </c>
      <c r="T163" s="13">
        <f t="shared" si="3"/>
        <v>1.3058648460131697E-05</v>
      </c>
      <c r="U163" s="14">
        <f t="shared" si="4"/>
        <v>-0.33807082272228683</v>
      </c>
      <c r="V163" s="14">
        <f t="shared" si="5"/>
        <v>-0.018965083452052056</v>
      </c>
      <c r="W163" s="14">
        <f t="shared" si="6"/>
        <v>0.006726181962157796</v>
      </c>
      <c r="X163" s="14">
        <f t="shared" si="7"/>
        <v>0.0010039901458052114</v>
      </c>
      <c r="Y163" s="14">
        <f t="shared" si="8"/>
        <v>3.5057819122386036E-05</v>
      </c>
      <c r="Z163" s="15">
        <f t="shared" si="9"/>
        <v>-0.3492706762472535</v>
      </c>
    </row>
    <row r="164" spans="1:26" ht="12">
      <c r="A164" t="s">
        <v>57</v>
      </c>
      <c r="B164" s="12">
        <f>B138^2*(B139*((B139+1)+(B139-1)*B141-2*SQRT(B139)*B143))</f>
        <v>1.3416813954902997</v>
      </c>
      <c r="D164" s="11" t="s">
        <v>21</v>
      </c>
      <c r="E164" s="2">
        <v>49</v>
      </c>
      <c r="F164" s="3"/>
      <c r="G164" s="2">
        <v>-1.99459900096947</v>
      </c>
      <c r="R164" s="13">
        <v>25.8707038549943</v>
      </c>
      <c r="S164" s="13">
        <f t="shared" si="2"/>
        <v>0.0036859507108411445</v>
      </c>
      <c r="T164" s="13">
        <f t="shared" si="3"/>
        <v>1.3586217260614184E-05</v>
      </c>
      <c r="U164" s="14">
        <f t="shared" si="4"/>
        <v>-0.3530596963968975</v>
      </c>
      <c r="V164" s="14">
        <f t="shared" si="5"/>
        <v>-0.019740873533450554</v>
      </c>
      <c r="W164" s="14">
        <f t="shared" si="6"/>
        <v>0.006998049646121274</v>
      </c>
      <c r="X164" s="14">
        <f t="shared" si="7"/>
        <v>0.0010445482339163092</v>
      </c>
      <c r="Y164" s="14">
        <f t="shared" si="8"/>
        <v>3.485815286463634E-05</v>
      </c>
      <c r="Z164" s="15">
        <f t="shared" si="9"/>
        <v>-0.3647231138974458</v>
      </c>
    </row>
    <row r="165" spans="1:26" ht="12">
      <c r="A165" t="s">
        <v>58</v>
      </c>
      <c r="B165">
        <f>(B139+1)-(B139-1)*B141+2*SQRT(B139)*B143</f>
        <v>2.015895580251362</v>
      </c>
      <c r="D165" s="11" t="s">
        <v>22</v>
      </c>
      <c r="E165" s="2">
        <v>50</v>
      </c>
      <c r="F165" s="3"/>
      <c r="G165" s="2">
        <v>0.998124462472188</v>
      </c>
      <c r="R165" s="13">
        <v>26.388117932094186</v>
      </c>
      <c r="S165" s="13">
        <f t="shared" si="2"/>
        <v>0.003759669725057967</v>
      </c>
      <c r="T165" s="13">
        <f t="shared" si="3"/>
        <v>1.4135099791398893E-05</v>
      </c>
      <c r="U165" s="14">
        <f t="shared" si="4"/>
        <v>-0.368769922432989</v>
      </c>
      <c r="V165" s="14">
        <f t="shared" si="5"/>
        <v>-0.020548803697145956</v>
      </c>
      <c r="W165" s="14">
        <f t="shared" si="6"/>
        <v>0.007280911495151088</v>
      </c>
      <c r="X165" s="14">
        <f t="shared" si="7"/>
        <v>0.0010867446121451962</v>
      </c>
      <c r="Y165" s="14">
        <f t="shared" si="8"/>
        <v>3.4650419912019004E-05</v>
      </c>
      <c r="Z165" s="15">
        <f t="shared" si="9"/>
        <v>-0.38091641960292666</v>
      </c>
    </row>
    <row r="166" spans="1:26" ht="12">
      <c r="A166" t="s">
        <v>59</v>
      </c>
      <c r="B166" s="12">
        <f>2*((B139-1)-(B139+1)*B141)</f>
        <v>-3.9665007073956273</v>
      </c>
      <c r="R166" s="13">
        <v>26.91588029073607</v>
      </c>
      <c r="S166" s="13">
        <f t="shared" si="2"/>
        <v>0.0038348631195591265</v>
      </c>
      <c r="T166" s="13">
        <f t="shared" si="3"/>
        <v>1.4706157123131307E-05</v>
      </c>
      <c r="U166" s="14">
        <f t="shared" si="4"/>
        <v>-0.3852409826298242</v>
      </c>
      <c r="V166" s="14">
        <f t="shared" si="5"/>
        <v>-0.02139023905469628</v>
      </c>
      <c r="W166" s="14">
        <f t="shared" si="6"/>
        <v>0.007575212556410804</v>
      </c>
      <c r="X166" s="14">
        <f t="shared" si="7"/>
        <v>0.001130645446264289</v>
      </c>
      <c r="Y166" s="14">
        <f t="shared" si="8"/>
        <v>3.4434294357676976E-05</v>
      </c>
      <c r="Z166" s="15">
        <f t="shared" si="9"/>
        <v>-0.3978909293874877</v>
      </c>
    </row>
    <row r="167" spans="1:26" ht="12">
      <c r="A167" t="s">
        <v>60</v>
      </c>
      <c r="B167">
        <f>(B139+1)-(B139-1)*B141-2*SQRT(B139)*B143</f>
        <v>1.978806848632287</v>
      </c>
      <c r="R167" s="13">
        <v>27.45419789655079</v>
      </c>
      <c r="S167" s="13">
        <f t="shared" si="2"/>
        <v>0.003911560381950309</v>
      </c>
      <c r="T167" s="13">
        <f t="shared" si="3"/>
        <v>1.53002851133764E-05</v>
      </c>
      <c r="U167" s="14">
        <f t="shared" si="4"/>
        <v>-0.40251491032877595</v>
      </c>
      <c r="V167" s="14">
        <f t="shared" si="5"/>
        <v>-0.022266605471742196</v>
      </c>
      <c r="W167" s="14">
        <f t="shared" si="6"/>
        <v>0.007881415929773539</v>
      </c>
      <c r="X167" s="14">
        <f t="shared" si="7"/>
        <v>0.0011763195733962561</v>
      </c>
      <c r="Y167" s="14">
        <f t="shared" si="8"/>
        <v>3.4209437122179054E-05</v>
      </c>
      <c r="Z167" s="15">
        <f t="shared" si="9"/>
        <v>-0.4156895708602262</v>
      </c>
    </row>
    <row r="168" spans="18:26" ht="12">
      <c r="R168" s="13">
        <v>28.00328185448181</v>
      </c>
      <c r="S168" s="13">
        <f t="shared" si="2"/>
        <v>0.003989791589589315</v>
      </c>
      <c r="T168" s="13">
        <f t="shared" si="3"/>
        <v>1.591841581198265E-05</v>
      </c>
      <c r="U168" s="14">
        <f t="shared" si="4"/>
        <v>-0.42063648619713945</v>
      </c>
      <c r="V168" s="14">
        <f t="shared" si="5"/>
        <v>-0.023179392498256846</v>
      </c>
      <c r="W168" s="14">
        <f t="shared" si="6"/>
        <v>0.008200003503084474</v>
      </c>
      <c r="X168" s="14">
        <f t="shared" si="7"/>
        <v>0.0012238386097989107</v>
      </c>
      <c r="Y168" s="14">
        <f t="shared" si="8"/>
        <v>3.397549542949463E-05</v>
      </c>
      <c r="Z168" s="15">
        <f t="shared" si="9"/>
        <v>-0.4343580610870834</v>
      </c>
    </row>
    <row r="169" spans="18:26" ht="12">
      <c r="R169" s="13">
        <v>28.563347491571445</v>
      </c>
      <c r="S169" s="13">
        <f t="shared" si="2"/>
        <v>0.004069587421381102</v>
      </c>
      <c r="T169" s="13">
        <f t="shared" si="3"/>
        <v>1.6561518923220396E-05</v>
      </c>
      <c r="U169" s="14">
        <f t="shared" si="4"/>
        <v>-0.43965345143523393</v>
      </c>
      <c r="V169" s="14">
        <f t="shared" si="5"/>
        <v>-0.024130156458262775</v>
      </c>
      <c r="W169" s="14">
        <f t="shared" si="6"/>
        <v>0.008531476717777764</v>
      </c>
      <c r="X169" s="14">
        <f t="shared" si="7"/>
        <v>0.0012732770629844126</v>
      </c>
      <c r="Y169" s="14">
        <f t="shared" si="8"/>
        <v>3.373210224966172E-05</v>
      </c>
      <c r="Z169" s="15">
        <f t="shared" si="9"/>
        <v>-0.45394512201048487</v>
      </c>
    </row>
    <row r="170" spans="1:26" ht="12">
      <c r="A170" t="s">
        <v>61</v>
      </c>
      <c r="B170" s="12">
        <f>B138^2*(B139*((B139+1)-(B139-1)*B141+2*SQRT(B139)*B143))</f>
        <v>1.8809750402658822</v>
      </c>
      <c r="R170" s="13">
        <v>29.134614441402874</v>
      </c>
      <c r="S170" s="13">
        <f t="shared" si="2"/>
        <v>0.0041509791698087235</v>
      </c>
      <c r="T170" s="13">
        <f t="shared" si="3"/>
        <v>1.7230603326988157E-05</v>
      </c>
      <c r="U170" s="14">
        <f t="shared" si="4"/>
        <v>-0.45961674015269693</v>
      </c>
      <c r="V170" s="14">
        <f t="shared" si="5"/>
        <v>-0.025120523709013298</v>
      </c>
      <c r="W170" s="14">
        <f t="shared" si="6"/>
        <v>0.00887635736576442</v>
      </c>
      <c r="X170" s="14">
        <f t="shared" si="7"/>
        <v>0.001324712448355747</v>
      </c>
      <c r="Y170" s="14">
        <f t="shared" si="8"/>
        <v>3.347887572147101E-05</v>
      </c>
      <c r="Z170" s="15">
        <f t="shared" si="9"/>
        <v>-0.4745027151718686</v>
      </c>
    </row>
    <row r="171" spans="1:26" ht="12">
      <c r="A171" t="s">
        <v>62</v>
      </c>
      <c r="B171" s="12">
        <f>B138^2*(2*B139*((B139-1)-(B139+1)*B141))</f>
        <v>-3.701029408913056</v>
      </c>
      <c r="R171" s="13">
        <v>29.71730673023093</v>
      </c>
      <c r="S171" s="13">
        <f t="shared" si="2"/>
        <v>0.004233998753204898</v>
      </c>
      <c r="T171" s="13">
        <f t="shared" si="3"/>
        <v>1.792671866147312E-05</v>
      </c>
      <c r="U171" s="14">
        <f t="shared" si="4"/>
        <v>-0.48058073285329783</v>
      </c>
      <c r="V171" s="14">
        <f t="shared" si="5"/>
        <v>-0.026152194080403035</v>
      </c>
      <c r="W171" s="14">
        <f t="shared" si="6"/>
        <v>0.009235188419332019</v>
      </c>
      <c r="X171" s="14">
        <f t="shared" si="7"/>
        <v>0.001378225410552325</v>
      </c>
      <c r="Y171" s="14">
        <f t="shared" si="8"/>
        <v>3.32154185573863E-05</v>
      </c>
      <c r="Z171" s="15">
        <f t="shared" si="9"/>
        <v>-0.49608629768525914</v>
      </c>
    </row>
    <row r="172" spans="1:26" ht="12">
      <c r="A172" t="s">
        <v>63</v>
      </c>
      <c r="B172" s="12">
        <f>B138^2*(B139*((B139+1)-(B139-1)*B141-2*SQRT(B139)*B143))</f>
        <v>1.8463685957982072</v>
      </c>
      <c r="R172" s="13">
        <v>30.31165286483555</v>
      </c>
      <c r="S172" s="13">
        <f t="shared" si="2"/>
        <v>0.004318678728268997</v>
      </c>
      <c r="T172" s="13">
        <f t="shared" si="3"/>
        <v>1.8650956969748043E-05</v>
      </c>
      <c r="U172" s="14">
        <f t="shared" si="4"/>
        <v>-0.5026035331826364</v>
      </c>
      <c r="V172" s="14">
        <f t="shared" si="5"/>
        <v>-0.02722694450621077</v>
      </c>
      <c r="W172" s="14">
        <f t="shared" si="6"/>
        <v>0.009608534894923082</v>
      </c>
      <c r="X172" s="14">
        <f t="shared" si="7"/>
        <v>0.0014338998496601363</v>
      </c>
      <c r="Y172" s="14">
        <f t="shared" si="8"/>
        <v>3.2941317413826E-05</v>
      </c>
      <c r="Z172" s="15">
        <f t="shared" si="9"/>
        <v>-0.5187551016268501</v>
      </c>
    </row>
    <row r="173" spans="1:26" ht="12">
      <c r="A173" t="s">
        <v>64</v>
      </c>
      <c r="B173">
        <f>(B139+1)+(B139-1)*B141+2*SQRT(B139)*B143</f>
        <v>1.475007649932876</v>
      </c>
      <c r="R173" s="13">
        <v>30.917885922132264</v>
      </c>
      <c r="S173" s="13">
        <f t="shared" si="2"/>
        <v>0.004405052302834377</v>
      </c>
      <c r="T173" s="13">
        <f t="shared" si="3"/>
        <v>1.940445441288768E-05</v>
      </c>
      <c r="U173" s="14">
        <f t="shared" si="4"/>
        <v>-0.5257472703363248</v>
      </c>
      <c r="V173" s="14">
        <f t="shared" si="5"/>
        <v>-0.028346632859530985</v>
      </c>
      <c r="W173" s="14">
        <f t="shared" si="6"/>
        <v>0.009996984752774551</v>
      </c>
      <c r="X173" s="14">
        <f t="shared" si="7"/>
        <v>0.001491823052529817</v>
      </c>
      <c r="Y173" s="14">
        <f t="shared" si="8"/>
        <v>3.26561422507865E-05</v>
      </c>
      <c r="Z173" s="15">
        <f t="shared" si="9"/>
        <v>-0.5425724392483007</v>
      </c>
    </row>
    <row r="174" spans="1:26" ht="12">
      <c r="A174" t="s">
        <v>65</v>
      </c>
      <c r="B174" s="12">
        <f>-2*((B139-1)+(B139+1)*B141)</f>
        <v>-2.874129704525954</v>
      </c>
      <c r="R174" s="13">
        <v>31.53624364057491</v>
      </c>
      <c r="S174" s="13">
        <f t="shared" si="2"/>
        <v>0.004493153348891064</v>
      </c>
      <c r="T174" s="13">
        <f t="shared" si="3"/>
        <v>2.0188393052291727E-05</v>
      </c>
      <c r="U174" s="14">
        <f t="shared" si="4"/>
        <v>-0.5500784297977788</v>
      </c>
      <c r="V174" s="14">
        <f t="shared" si="5"/>
        <v>-0.02951320200593699</v>
      </c>
      <c r="W174" s="14">
        <f t="shared" si="6"/>
        <v>0.010401149833349166</v>
      </c>
      <c r="X174" s="14">
        <f t="shared" si="7"/>
        <v>0.0015520858293651685</v>
      </c>
      <c r="Y174" s="14">
        <f t="shared" si="8"/>
        <v>3.2359445648832974E-05</v>
      </c>
      <c r="Z174" s="15">
        <f t="shared" si="9"/>
        <v>-0.5676060366953526</v>
      </c>
    </row>
    <row r="175" spans="1:26" ht="12">
      <c r="A175" t="s">
        <v>66</v>
      </c>
      <c r="B175">
        <f>(B139+1)+(B139-1)*B141-2*SQRT(B139)*B143</f>
        <v>1.4379189183138006</v>
      </c>
      <c r="R175" s="13">
        <v>32.16696851338641</v>
      </c>
      <c r="S175" s="13">
        <f t="shared" si="2"/>
        <v>0.004583016415868886</v>
      </c>
      <c r="T175" s="13">
        <f t="shared" si="3"/>
        <v>2.1004002704009933E-05</v>
      </c>
      <c r="U175" s="14">
        <f t="shared" si="4"/>
        <v>-0.5756682153795651</v>
      </c>
      <c r="V175" s="14">
        <f t="shared" si="5"/>
        <v>-0.030728684088572322</v>
      </c>
      <c r="W175" s="14">
        <f t="shared" si="6"/>
        <v>0.010821666832697474</v>
      </c>
      <c r="X175" s="14">
        <f t="shared" si="7"/>
        <v>0.0016147826558210454</v>
      </c>
      <c r="Y175" s="14">
        <f t="shared" si="8"/>
        <v>3.205076211365565E-05</v>
      </c>
      <c r="Z175" s="15">
        <f t="shared" si="9"/>
        <v>-0.5939283992175053</v>
      </c>
    </row>
    <row r="176" spans="18:26" ht="12">
      <c r="R176" s="13">
        <v>32.81030788365414</v>
      </c>
      <c r="S176" s="13">
        <f t="shared" si="2"/>
        <v>0.004674676744186264</v>
      </c>
      <c r="T176" s="13">
        <f t="shared" si="3"/>
        <v>2.1852562867977945E-05</v>
      </c>
      <c r="U176" s="14">
        <f t="shared" si="4"/>
        <v>-0.6025929458868831</v>
      </c>
      <c r="V176" s="14">
        <f t="shared" si="5"/>
        <v>-0.03199520506079523</v>
      </c>
      <c r="W176" s="14">
        <f t="shared" si="6"/>
        <v>0.011259198317809194</v>
      </c>
      <c r="X176" s="14">
        <f t="shared" si="7"/>
        <v>0.0016800118208166737</v>
      </c>
      <c r="Y176" s="14">
        <f t="shared" si="8"/>
        <v>3.172960733976993E-05</v>
      </c>
      <c r="Z176" s="15">
        <f t="shared" si="9"/>
        <v>-0.6216172112017126</v>
      </c>
    </row>
    <row r="177" spans="18:26" ht="12">
      <c r="R177" s="13">
        <v>33.46651404132722</v>
      </c>
      <c r="S177" s="13">
        <f t="shared" si="2"/>
        <v>0.004768170279069989</v>
      </c>
      <c r="T177" s="13">
        <f t="shared" si="3"/>
        <v>2.273540473519009E-05</v>
      </c>
      <c r="U177" s="14">
        <f t="shared" si="4"/>
        <v>-0.630934490107407</v>
      </c>
      <c r="V177" s="14">
        <f t="shared" si="5"/>
        <v>-0.03331498948291767</v>
      </c>
      <c r="W177" s="14">
        <f t="shared" si="6"/>
        <v>0.011714433784092648</v>
      </c>
      <c r="X177" s="14">
        <f t="shared" si="7"/>
        <v>0.0017478755802882162</v>
      </c>
      <c r="Y177" s="14">
        <f t="shared" si="8"/>
        <v>3.1395477454676524E-05</v>
      </c>
      <c r="Z177" s="15">
        <f t="shared" si="9"/>
        <v>-0.6507557747484891</v>
      </c>
    </row>
    <row r="178" spans="1:26" ht="12">
      <c r="A178" t="s">
        <v>68</v>
      </c>
      <c r="B178" s="12">
        <v>1</v>
      </c>
      <c r="R178" s="13">
        <v>34.135844322153766</v>
      </c>
      <c r="S178" s="13">
        <f t="shared" si="2"/>
        <v>0.004863533684651389</v>
      </c>
      <c r="T178" s="13">
        <f t="shared" si="3"/>
        <v>2.3653913275957232E-05</v>
      </c>
      <c r="U178" s="14">
        <f t="shared" si="4"/>
        <v>-0.6607807442680382</v>
      </c>
      <c r="V178" s="14">
        <f t="shared" si="5"/>
        <v>-0.03469036560120031</v>
      </c>
      <c r="W178" s="14">
        <f t="shared" si="6"/>
        <v>0.01218809075650995</v>
      </c>
      <c r="X178" s="14">
        <f t="shared" si="7"/>
        <v>0.001818480317156812</v>
      </c>
      <c r="Y178" s="14">
        <f t="shared" si="8"/>
        <v>3.1047848225274066E-05</v>
      </c>
      <c r="Z178" s="15">
        <f t="shared" si="9"/>
        <v>-0.6814334909473465</v>
      </c>
    </row>
    <row r="179" spans="1:26" ht="12">
      <c r="A179" t="s">
        <v>69</v>
      </c>
      <c r="B179" s="12">
        <f>-2*B141</f>
        <v>-1.9806015681396387</v>
      </c>
      <c r="R179" s="13">
        <v>34.81856120859684</v>
      </c>
      <c r="S179" s="13">
        <f t="shared" si="2"/>
        <v>0.004960804358344417</v>
      </c>
      <c r="T179" s="13">
        <f t="shared" si="3"/>
        <v>2.46095294125252E-05</v>
      </c>
      <c r="U179" s="14">
        <f t="shared" si="4"/>
        <v>-0.6922261565903653</v>
      </c>
      <c r="V179" s="14">
        <f t="shared" si="5"/>
        <v>-0.036123770728259785</v>
      </c>
      <c r="W179" s="14">
        <f t="shared" si="6"/>
        <v>0.012680915936314818</v>
      </c>
      <c r="X179" s="14">
        <f t="shared" si="7"/>
        <v>0.0018919367077048221</v>
      </c>
      <c r="Y179" s="14">
        <f t="shared" si="8"/>
        <v>3.068617423718223E-05</v>
      </c>
      <c r="Z179" s="15">
        <f t="shared" si="9"/>
        <v>-0.7137463885003683</v>
      </c>
    </row>
    <row r="180" spans="1:26" ht="12">
      <c r="A180" t="s">
        <v>70</v>
      </c>
      <c r="B180" s="12">
        <f>1</f>
        <v>1</v>
      </c>
      <c r="R180" s="13">
        <v>35.51493243276878</v>
      </c>
      <c r="S180" s="13">
        <f aca="true" t="shared" si="10" ref="S180:S243">2*PI()*R180/44100</f>
        <v>0.005060020445511305</v>
      </c>
      <c r="T180" s="13">
        <f aca="true" t="shared" si="11" ref="T180:T243">4*(SIN(S180/2))^2</f>
        <v>2.5603752279461695E-05</v>
      </c>
      <c r="U180" s="14">
        <f aca="true" t="shared" si="12" ref="U180:U243">10*LOG10(($G$116+$G$117+$G$118)^2+($G$116*$G$118*T180-($G$117*($G$116+$G$118)+4*$G$116*$G$118))*T180)-10*LOG10((1+$G$119+$G$120)^2+(1*$G$120*T180-($G$119*(1+$G$120)+4*1*$G$120))*T180)</f>
        <v>-0.7253723041326339</v>
      </c>
      <c r="V180" s="14">
        <f aca="true" t="shared" si="13" ref="V180:V243">10*LOG10(($G$121+$G$122+$G$123)^2+($G$121*$G$123*$T180-($G$122*($G$121+$G$123)+4*$G$121*$G$123))*$T180)-10*LOG10((1+$G$124+$G$125)^2+(1*$G$125*$T180-($G$124*(1+$G$125)+4*1*$G$125))*$T180)</f>
        <v>-0.0376177569459486</v>
      </c>
      <c r="W180" s="14">
        <f aca="true" t="shared" si="14" ref="W180:W243">10*LOG10(($G$126+$G$127+$G$128)^2+($G$126*$G$128*$T180-($G$127*($G$126+$G$128)+4*$G$126*$G$128))*$T180)-10*LOG10((1+$G$129+$G$130)^2+(1*$G$130*$T180-($G$129*(1+$G$130)+4*1*$G$130))*$T180)</f>
        <v>0.013193686395311488</v>
      </c>
      <c r="X180" s="14">
        <f aca="true" t="shared" si="15" ref="X180:X243">10*LOG10(($G$131+$G$132+$G$133)^2+($G$131*$G$133*$T180-($G$132*($G$131+$G$133)+4*$G$131*$G$133))*$T180)-10*LOG10((1+$G$134+$G$135)^2+(1*$G$135*$T180-($G$134*(1+$G$135)+4*1*$G$135))*$T180)</f>
        <v>0.00196835989465427</v>
      </c>
      <c r="Y180" s="14">
        <f aca="true" t="shared" si="16" ref="Y180:Y243">10*LOG10(($G$136+$G$137+$G$138)^2+($G$136*$G$138*$T180-($G$137*($G$136+$G$138)+4*$G$136*$G$138))*$T180)-10*LOG10((1+$G$139+$G$140)^2+(1*$G$140*$T180-($G$139*(1+$G$140)+4*1*$G$140))*$T180)</f>
        <v>3.0309888039425914E-05</v>
      </c>
      <c r="Z180" s="15">
        <f aca="true" t="shared" si="17" ref="Z180:Z243">U180+V180+W180+X180+Y180</f>
        <v>-0.7477977049005773</v>
      </c>
    </row>
    <row r="181" spans="1:26" ht="12">
      <c r="A181" t="s">
        <v>71</v>
      </c>
      <c r="B181" s="12">
        <f>1+B143</f>
        <v>1.0108753311517575</v>
      </c>
      <c r="R181" s="13">
        <v>36.225231081424155</v>
      </c>
      <c r="S181" s="13">
        <f t="shared" si="10"/>
        <v>0.005161220854421531</v>
      </c>
      <c r="T181" s="13">
        <f t="shared" si="11"/>
        <v>2.663814157535681E-05</v>
      </c>
      <c r="U181" s="14">
        <f t="shared" si="12"/>
        <v>-0.7603285277337903</v>
      </c>
      <c r="V181" s="14">
        <f t="shared" si="13"/>
        <v>-0.03917499715323203</v>
      </c>
      <c r="W181" s="14">
        <f t="shared" si="14"/>
        <v>0.013727210819610036</v>
      </c>
      <c r="X181" s="14">
        <f t="shared" si="15"/>
        <v>0.0020478696672183716</v>
      </c>
      <c r="Y181" s="14">
        <f t="shared" si="16"/>
        <v>2.9918399249151406E-05</v>
      </c>
      <c r="Z181" s="15">
        <f t="shared" si="17"/>
        <v>-0.7836985260009448</v>
      </c>
    </row>
    <row r="182" spans="1:26" ht="12">
      <c r="A182" t="s">
        <v>72</v>
      </c>
      <c r="B182" s="12">
        <f>-2*B141</f>
        <v>-1.9806015681396387</v>
      </c>
      <c r="R182" s="13">
        <v>36.94973570305264</v>
      </c>
      <c r="S182" s="13">
        <f t="shared" si="10"/>
        <v>0.005264445271509962</v>
      </c>
      <c r="T182" s="13">
        <f t="shared" si="11"/>
        <v>2.7714320009525937E-05</v>
      </c>
      <c r="U182" s="14">
        <f t="shared" si="12"/>
        <v>-0.7972126315868024</v>
      </c>
      <c r="V182" s="14">
        <f t="shared" si="13"/>
        <v>-0.04079829148351166</v>
      </c>
      <c r="W182" s="14">
        <f t="shared" si="14"/>
        <v>0.01428233080501684</v>
      </c>
      <c r="X182" s="14">
        <f t="shared" si="15"/>
        <v>0.0021305906483801706</v>
      </c>
      <c r="Y182" s="14">
        <f t="shared" si="16"/>
        <v>2.951109363014126E-05</v>
      </c>
      <c r="Z182" s="15">
        <f t="shared" si="17"/>
        <v>-0.821568490523287</v>
      </c>
    </row>
    <row r="183" spans="1:26" ht="12">
      <c r="A183" t="s">
        <v>73</v>
      </c>
      <c r="B183">
        <f>1-B143</f>
        <v>0.9891246688482423</v>
      </c>
      <c r="R183" s="13">
        <v>37.68873041711369</v>
      </c>
      <c r="S183" s="13">
        <f t="shared" si="10"/>
        <v>0.005369734176940161</v>
      </c>
      <c r="T183" s="13">
        <f t="shared" si="11"/>
        <v>2.8833975847552596E-05</v>
      </c>
      <c r="U183" s="14">
        <f t="shared" si="12"/>
        <v>-0.8361516547759607</v>
      </c>
      <c r="V183" s="14">
        <f t="shared" si="13"/>
        <v>-0.04249057411760049</v>
      </c>
      <c r="W183" s="14">
        <f t="shared" si="14"/>
        <v>0.014859922206298393</v>
      </c>
      <c r="X183" s="14">
        <f t="shared" si="15"/>
        <v>0.0022166524897020423</v>
      </c>
      <c r="Y183" s="14">
        <f t="shared" si="16"/>
        <v>2.9087332126920273E-05</v>
      </c>
      <c r="Z183" s="15">
        <f t="shared" si="17"/>
        <v>-0.8615365668654338</v>
      </c>
    </row>
    <row r="184" spans="18:26" ht="12">
      <c r="R184" s="13">
        <v>38.442505025455965</v>
      </c>
      <c r="S184" s="13">
        <f t="shared" si="10"/>
        <v>0.0054771288604789645</v>
      </c>
      <c r="T184" s="13">
        <f t="shared" si="11"/>
        <v>2.999886555966373E-05</v>
      </c>
      <c r="U184" s="14">
        <f t="shared" si="12"/>
        <v>-0.8772827230300209</v>
      </c>
      <c r="V184" s="14">
        <f t="shared" si="13"/>
        <v>-0.04425492052122593</v>
      </c>
      <c r="W184" s="14">
        <f t="shared" si="14"/>
        <v>0.015460896542528246</v>
      </c>
      <c r="X184" s="14">
        <f t="shared" si="15"/>
        <v>0.0023061900739778096</v>
      </c>
      <c r="Y184" s="14">
        <f t="shared" si="16"/>
        <v>2.8646449860225687E-05</v>
      </c>
      <c r="Z184" s="15">
        <f t="shared" si="17"/>
        <v>-0.9037419104848805</v>
      </c>
    </row>
    <row r="185" spans="18:26" ht="12">
      <c r="R185" s="13">
        <v>39.211355125965085</v>
      </c>
      <c r="S185" s="13">
        <f t="shared" si="10"/>
        <v>0.005586671437688544</v>
      </c>
      <c r="T185" s="13">
        <f t="shared" si="11"/>
        <v>3.1210816576091224E-05</v>
      </c>
      <c r="U185" s="14">
        <f t="shared" si="12"/>
        <v>-0.9207539899863093</v>
      </c>
      <c r="V185" s="14">
        <f t="shared" si="13"/>
        <v>-0.04609455513750049</v>
      </c>
      <c r="W185" s="14">
        <f t="shared" si="14"/>
        <v>0.016086202461004007</v>
      </c>
      <c r="X185" s="14">
        <f t="shared" si="15"/>
        <v>0.0023993437260223516</v>
      </c>
      <c r="Y185" s="14">
        <f t="shared" si="16"/>
        <v>2.818775508695026E-05</v>
      </c>
      <c r="Z185" s="15">
        <f t="shared" si="17"/>
        <v>-0.9483348111816965</v>
      </c>
    </row>
    <row r="186" spans="1:26" ht="12">
      <c r="A186" t="s">
        <v>74</v>
      </c>
      <c r="B186" s="12">
        <f>1+(B143*B139)</f>
        <v>1.0079053570525613</v>
      </c>
      <c r="R186" s="13">
        <v>39.99558222848439</v>
      </c>
      <c r="S186" s="13">
        <f t="shared" si="10"/>
        <v>0.005698404866442314</v>
      </c>
      <c r="T186" s="13">
        <f t="shared" si="11"/>
        <v>3.2471730153741425E-05</v>
      </c>
      <c r="U186" s="14">
        <f t="shared" si="12"/>
        <v>-0.9667256784519509</v>
      </c>
      <c r="V186" s="14">
        <f t="shared" si="13"/>
        <v>-0.04801285956833112</v>
      </c>
      <c r="W186" s="14">
        <f t="shared" si="14"/>
        <v>0.016736827262185727</v>
      </c>
      <c r="X186" s="14">
        <f t="shared" si="15"/>
        <v>0.0024962594319264397</v>
      </c>
      <c r="Y186" s="14">
        <f t="shared" si="16"/>
        <v>2.771052810723873E-05</v>
      </c>
      <c r="Z186" s="15">
        <f t="shared" si="17"/>
        <v>-0.9954777407980626</v>
      </c>
    </row>
    <row r="187" spans="1:26" ht="12">
      <c r="A187" t="s">
        <v>75</v>
      </c>
      <c r="B187" s="12">
        <f>-2*B141</f>
        <v>-1.9806015681396387</v>
      </c>
      <c r="R187" s="13">
        <v>40.79549387305408</v>
      </c>
      <c r="S187" s="13">
        <f t="shared" si="10"/>
        <v>0.0058123729637711615</v>
      </c>
      <c r="T187" s="13">
        <f t="shared" si="11"/>
        <v>3.3783584358668515E-05</v>
      </c>
      <c r="U187" s="14">
        <f t="shared" si="12"/>
        <v>-1.0153712335085174</v>
      </c>
      <c r="V187" s="14">
        <f t="shared" si="13"/>
        <v>-0.05001338128055721</v>
      </c>
      <c r="W187" s="14">
        <f t="shared" si="14"/>
        <v>0.01741379848826341</v>
      </c>
      <c r="X187" s="14">
        <f t="shared" si="15"/>
        <v>0.002597089067133851</v>
      </c>
      <c r="Y187" s="14">
        <f t="shared" si="16"/>
        <v>2.7214020146271167E-05</v>
      </c>
      <c r="Z187" s="15">
        <f t="shared" si="17"/>
        <v>-1.0453465132135311</v>
      </c>
    </row>
    <row r="188" spans="1:26" ht="12">
      <c r="A188" t="s">
        <v>76</v>
      </c>
      <c r="B188" s="12">
        <f>1-(B143*B139)</f>
        <v>0.9920946429474388</v>
      </c>
      <c r="R188" s="13">
        <v>41.61140375051516</v>
      </c>
      <c r="S188" s="13">
        <f t="shared" si="10"/>
        <v>0.005928620423046584</v>
      </c>
      <c r="T188" s="13">
        <f t="shared" si="11"/>
        <v>3.5148437169029624E-05</v>
      </c>
      <c r="U188" s="14">
        <f t="shared" si="12"/>
        <v>-1.066878600863518</v>
      </c>
      <c r="V188" s="14">
        <f t="shared" si="13"/>
        <v>-0.05209984287663616</v>
      </c>
      <c r="W188" s="14">
        <f t="shared" si="14"/>
        <v>0.018118185578295254</v>
      </c>
      <c r="X188" s="14">
        <f t="shared" si="15"/>
        <v>0.0027019906336667177</v>
      </c>
      <c r="Y188" s="14">
        <f t="shared" si="16"/>
        <v>2.6697452167212532E-05</v>
      </c>
      <c r="Z188" s="15">
        <f t="shared" si="17"/>
        <v>-1.098131570076025</v>
      </c>
    </row>
    <row r="189" spans="1:26" ht="12">
      <c r="A189" t="s">
        <v>77</v>
      </c>
      <c r="B189" s="12">
        <f>1+(B143/B139)</f>
        <v>1.0149610987680904</v>
      </c>
      <c r="R189" s="13">
        <v>42.443631825525465</v>
      </c>
      <c r="S189" s="13">
        <f t="shared" si="10"/>
        <v>0.006047192831507516</v>
      </c>
      <c r="T189" s="13">
        <f t="shared" si="11"/>
        <v>3.65684297033883E-05</v>
      </c>
      <c r="U189" s="14">
        <f t="shared" si="12"/>
        <v>-1.1214516456424377</v>
      </c>
      <c r="V189" s="14">
        <f t="shared" si="13"/>
        <v>-0.05427615197241664</v>
      </c>
      <c r="W189" s="14">
        <f t="shared" si="14"/>
        <v>0.018851101592325392</v>
      </c>
      <c r="X189" s="14">
        <f t="shared" si="15"/>
        <v>0.0028111285068881386</v>
      </c>
      <c r="Y189" s="14">
        <f t="shared" si="16"/>
        <v>2.616001365485232E-05</v>
      </c>
      <c r="Z189" s="15">
        <f t="shared" si="17"/>
        <v>-1.154039407501986</v>
      </c>
    </row>
    <row r="190" spans="1:26" ht="12">
      <c r="A190" t="s">
        <v>78</v>
      </c>
      <c r="B190" s="12">
        <f>-2*B141</f>
        <v>-1.9806015681396387</v>
      </c>
      <c r="R190" s="13">
        <v>43.29250446203597</v>
      </c>
      <c r="S190" s="13">
        <f t="shared" si="10"/>
        <v>0.006168136688137667</v>
      </c>
      <c r="T190" s="13">
        <f t="shared" si="11"/>
        <v>3.8045789579429284E-05</v>
      </c>
      <c r="U190" s="14">
        <f t="shared" si="12"/>
        <v>-1.1793117288747226</v>
      </c>
      <c r="V190" s="14">
        <f t="shared" si="13"/>
        <v>-0.056546411728291446</v>
      </c>
      <c r="W190" s="14">
        <f t="shared" si="14"/>
        <v>0.019613705008119098</v>
      </c>
      <c r="X190" s="14">
        <f t="shared" si="15"/>
        <v>0.002924673692161761</v>
      </c>
      <c r="Y190" s="14">
        <f t="shared" si="16"/>
        <v>2.5600861343288983E-05</v>
      </c>
      <c r="Z190" s="15">
        <f t="shared" si="17"/>
        <v>-1.2132941610413899</v>
      </c>
    </row>
    <row r="191" spans="1:26" ht="12">
      <c r="A191" t="s">
        <v>79</v>
      </c>
      <c r="B191">
        <f>1-(B143/B139)</f>
        <v>0.9850389012319096</v>
      </c>
      <c r="R191" s="13">
        <v>44.158354551276695</v>
      </c>
      <c r="S191" s="13">
        <f t="shared" si="10"/>
        <v>0.006291499421900421</v>
      </c>
      <c r="T191" s="13">
        <f t="shared" si="11"/>
        <v>3.9582834408352574E-05</v>
      </c>
      <c r="U191" s="14">
        <f t="shared" si="12"/>
        <v>-1.2406994613077558</v>
      </c>
      <c r="V191" s="14">
        <f t="shared" si="13"/>
        <v>-0.05891493208458343</v>
      </c>
      <c r="W191" s="14">
        <f t="shared" si="14"/>
        <v>0.020407201592988145</v>
      </c>
      <c r="X191" s="14">
        <f t="shared" si="15"/>
        <v>0.003042804091818674</v>
      </c>
      <c r="Y191" s="14">
        <f t="shared" si="16"/>
        <v>2.5019117887215003E-05</v>
      </c>
      <c r="Z191" s="15">
        <f t="shared" si="17"/>
        <v>-1.2761393685896452</v>
      </c>
    </row>
    <row r="192" spans="18:26" ht="12">
      <c r="R192" s="13">
        <v>45.04152164230223</v>
      </c>
      <c r="S192" s="13">
        <f t="shared" si="10"/>
        <v>0.006417329410338428</v>
      </c>
      <c r="T192" s="13">
        <f t="shared" si="11"/>
        <v>4.118197543042683E-05</v>
      </c>
      <c r="U192" s="14">
        <f t="shared" si="12"/>
        <v>-1.3058766569433118</v>
      </c>
      <c r="V192" s="14">
        <f t="shared" si="13"/>
        <v>-0.061386241755776894</v>
      </c>
      <c r="W192" s="14">
        <f t="shared" si="14"/>
        <v>0.02123284635453615</v>
      </c>
      <c r="X192" s="14">
        <f t="shared" si="15"/>
        <v>0.003165704782839285</v>
      </c>
      <c r="Y192" s="14">
        <f t="shared" si="16"/>
        <v>2.4413870491013512E-05</v>
      </c>
      <c r="Z192" s="15">
        <f t="shared" si="17"/>
        <v>-1.3428399336912222</v>
      </c>
    </row>
    <row r="193" spans="18:26" ht="12">
      <c r="R193" s="13">
        <v>45.94235207514827</v>
      </c>
      <c r="S193" s="13">
        <f t="shared" si="10"/>
        <v>0.006545675998545197</v>
      </c>
      <c r="T193" s="13">
        <f t="shared" si="11"/>
        <v>4.2845721297403926E-05</v>
      </c>
      <c r="U193" s="14">
        <f t="shared" si="12"/>
        <v>-1.375128511905217</v>
      </c>
      <c r="V193" s="14">
        <f t="shared" si="13"/>
        <v>-0.06396510104360686</v>
      </c>
      <c r="W193" s="14">
        <f t="shared" si="14"/>
        <v>0.022091945573393446</v>
      </c>
      <c r="X193" s="14">
        <f t="shared" si="15"/>
        <v>0.0032935683056667386</v>
      </c>
      <c r="Y193" s="14">
        <f t="shared" si="16"/>
        <v>2.37841694716856E-05</v>
      </c>
      <c r="Z193" s="15">
        <f t="shared" si="17"/>
        <v>-1.413684314900292</v>
      </c>
    </row>
    <row r="194" spans="1:26" ht="12">
      <c r="A194" t="s">
        <v>88</v>
      </c>
      <c r="D194" s="5" t="s">
        <v>87</v>
      </c>
      <c r="E194" s="5">
        <f>D109</f>
        <v>978.3487289712558</v>
      </c>
      <c r="R194" s="13">
        <v>46.861199116651235</v>
      </c>
      <c r="S194" s="13">
        <f t="shared" si="10"/>
        <v>0.006676589518516101</v>
      </c>
      <c r="T194" s="13">
        <f t="shared" si="11"/>
        <v>4.457668200772663E-05</v>
      </c>
      <c r="U194" s="14">
        <f t="shared" si="12"/>
        <v>-1.4487660380046776</v>
      </c>
      <c r="V194" s="14">
        <f t="shared" si="13"/>
        <v>-0.06665651553409901</v>
      </c>
      <c r="W194" s="14">
        <f t="shared" si="14"/>
        <v>0.022985858921700242</v>
      </c>
      <c r="X194" s="14">
        <f t="shared" si="15"/>
        <v>0.0034265949646092864</v>
      </c>
      <c r="Y194" s="14">
        <f t="shared" si="16"/>
        <v>2.3129026768486938E-05</v>
      </c>
      <c r="Z194" s="15">
        <f t="shared" si="17"/>
        <v>-1.4889869706256986</v>
      </c>
    </row>
    <row r="195" spans="4:26" ht="12">
      <c r="D195" s="5" t="s">
        <v>81</v>
      </c>
      <c r="E195" s="5">
        <f>D111+20</f>
        <v>14.45916</v>
      </c>
      <c r="G195" t="s">
        <v>86</v>
      </c>
      <c r="H195">
        <f>-COS(2*PI()*E194/44100)</f>
        <v>-0.9903007840698194</v>
      </c>
      <c r="R195" s="13">
        <v>47.79842309898426</v>
      </c>
      <c r="S195" s="13">
        <f t="shared" si="10"/>
        <v>0.006810121308886422</v>
      </c>
      <c r="T195" s="13">
        <f t="shared" si="11"/>
        <v>4.637757300070076E-05</v>
      </c>
      <c r="U195" s="14">
        <f t="shared" si="12"/>
        <v>-1.5271287847878057</v>
      </c>
      <c r="V195" s="14">
        <f t="shared" si="13"/>
        <v>-0.06946575074968564</v>
      </c>
      <c r="W195" s="14">
        <f t="shared" si="14"/>
        <v>0.023916001671032916</v>
      </c>
      <c r="X195" s="14">
        <f t="shared" si="15"/>
        <v>0.0035649931402881307</v>
      </c>
      <c r="Y195" s="14">
        <f t="shared" si="16"/>
        <v>2.2447414390391884E-05</v>
      </c>
      <c r="Z195" s="15">
        <f t="shared" si="17"/>
        <v>-1.5690910933117799</v>
      </c>
    </row>
    <row r="196" spans="1:26" ht="12">
      <c r="A196" t="s">
        <v>89</v>
      </c>
      <c r="B196">
        <f>1+(1+E202)*E197/2</f>
        <v>1.1452686911783592</v>
      </c>
      <c r="D196" s="5" t="s">
        <v>82</v>
      </c>
      <c r="E196" s="5">
        <f>E194/D110</f>
        <v>153.15758148174822</v>
      </c>
      <c r="R196" s="13">
        <v>48.754391560963946</v>
      </c>
      <c r="S196" s="13">
        <f t="shared" si="10"/>
        <v>0.006946323735064151</v>
      </c>
      <c r="T196" s="13">
        <f t="shared" si="11"/>
        <v>4.825121941605278E-05</v>
      </c>
      <c r="U196" s="14">
        <f t="shared" si="12"/>
        <v>-1.6105878890709846</v>
      </c>
      <c r="V196" s="14">
        <f t="shared" si="13"/>
        <v>-0.07239834783391075</v>
      </c>
      <c r="W196" s="14">
        <f t="shared" si="14"/>
        <v>0.024883846993780878</v>
      </c>
      <c r="X196" s="14">
        <f t="shared" si="15"/>
        <v>0.0037089796145997056</v>
      </c>
      <c r="Y196" s="14">
        <f t="shared" si="16"/>
        <v>2.1738262807602382E-05</v>
      </c>
      <c r="Z196" s="15">
        <f t="shared" si="17"/>
        <v>-1.6543716720337072</v>
      </c>
    </row>
    <row r="197" spans="1:26" ht="12">
      <c r="A197" t="s">
        <v>90</v>
      </c>
      <c r="B197">
        <f>H195*(1-E202)</f>
        <v>-1.9592243501297888</v>
      </c>
      <c r="D197" t="s">
        <v>85</v>
      </c>
      <c r="E197">
        <f>E195-1</f>
        <v>13.45916</v>
      </c>
      <c r="R197" s="13">
        <v>49.72947939218322</v>
      </c>
      <c r="S197" s="13">
        <f t="shared" si="10"/>
        <v>0.007085250209765434</v>
      </c>
      <c r="T197" s="13">
        <f t="shared" si="11"/>
        <v>5.020056052555236E-05</v>
      </c>
      <c r="U197" s="14">
        <f t="shared" si="12"/>
        <v>-1.699549497177344</v>
      </c>
      <c r="V197" s="14">
        <f t="shared" si="13"/>
        <v>-0.07546014035350623</v>
      </c>
      <c r="W197" s="14">
        <f t="shared" si="14"/>
        <v>0.025890928361945953</v>
      </c>
      <c r="X197" s="14">
        <f t="shared" si="15"/>
        <v>0.003858779908699539</v>
      </c>
      <c r="Y197" s="14">
        <f t="shared" si="16"/>
        <v>2.1000459264453042E-05</v>
      </c>
      <c r="Z197" s="15">
        <f t="shared" si="17"/>
        <v>-1.7452389288009402</v>
      </c>
    </row>
    <row r="198" spans="1:26" ht="12">
      <c r="A198" t="s">
        <v>91</v>
      </c>
      <c r="B198">
        <f>-E202-(1+E202)*E197/2</f>
        <v>0.8331447178043173</v>
      </c>
      <c r="R198" s="13">
        <v>50.724068980026885</v>
      </c>
      <c r="S198" s="13">
        <f t="shared" si="10"/>
        <v>0.007226955213960742</v>
      </c>
      <c r="T198" s="13">
        <f t="shared" si="11"/>
        <v>5.2228654343650114E-05</v>
      </c>
      <c r="U198" s="14">
        <f t="shared" si="12"/>
        <v>-1.794458612519719</v>
      </c>
      <c r="V198" s="14">
        <f t="shared" si="13"/>
        <v>-0.07865727231041575</v>
      </c>
      <c r="W198" s="14">
        <f t="shared" si="14"/>
        <v>0.026938842047897538</v>
      </c>
      <c r="X198" s="14">
        <f t="shared" si="15"/>
        <v>0.004014628634545936</v>
      </c>
      <c r="Y198" s="14">
        <f t="shared" si="16"/>
        <v>2.0232846037693264E-05</v>
      </c>
      <c r="Z198" s="15">
        <f t="shared" si="17"/>
        <v>-1.8421421813016536</v>
      </c>
    </row>
    <row r="199" spans="1:26" ht="12">
      <c r="A199" t="s">
        <v>92</v>
      </c>
      <c r="B199">
        <f>B197</f>
        <v>-1.9592243501297888</v>
      </c>
      <c r="R199" s="13">
        <v>51.738550359627425</v>
      </c>
      <c r="S199" s="13">
        <f t="shared" si="10"/>
        <v>0.007371494318239957</v>
      </c>
      <c r="T199" s="13">
        <f t="shared" si="11"/>
        <v>5.433868242436059E-05</v>
      </c>
      <c r="U199" s="14">
        <f t="shared" si="12"/>
        <v>-1.8958034301347624</v>
      </c>
      <c r="V199" s="14">
        <f t="shared" si="13"/>
        <v>-0.08199621746495467</v>
      </c>
      <c r="W199" s="14">
        <f t="shared" si="14"/>
        <v>0.02802924973136811</v>
      </c>
      <c r="X199" s="14">
        <f t="shared" si="15"/>
        <v>0.004176769860477769</v>
      </c>
      <c r="Y199" s="14">
        <f t="shared" si="16"/>
        <v>1.9434218616609655E-05</v>
      </c>
      <c r="Z199" s="15">
        <f t="shared" si="17"/>
        <v>-1.9455741937892546</v>
      </c>
    </row>
    <row r="200" spans="1:26" ht="12">
      <c r="A200" t="s">
        <v>93</v>
      </c>
      <c r="B200">
        <f>-E202</f>
        <v>0.9784134089826766</v>
      </c>
      <c r="D200" t="s">
        <v>84</v>
      </c>
      <c r="E200" s="4">
        <f>(TAN(PI()*E196/44100)-E195)/(TAN(PI()*E196/44100)+E195)</f>
        <v>-0.998491913166616</v>
      </c>
      <c r="R200" s="13">
        <v>52.77332136681997</v>
      </c>
      <c r="S200" s="13">
        <f t="shared" si="10"/>
        <v>0.007518924204604757</v>
      </c>
      <c r="T200" s="13">
        <f t="shared" si="11"/>
        <v>5.653395485191269E-05</v>
      </c>
      <c r="U200" s="14">
        <f t="shared" si="12"/>
        <v>-2.004120230658174</v>
      </c>
      <c r="V200" s="14">
        <f t="shared" si="13"/>
        <v>-0.08548380008124212</v>
      </c>
      <c r="W200" s="14">
        <f t="shared" si="14"/>
        <v>0.02916388121757052</v>
      </c>
      <c r="X200" s="14">
        <f t="shared" si="15"/>
        <v>0.0043454574914632005</v>
      </c>
      <c r="Y200" s="14">
        <f t="shared" si="16"/>
        <v>1.8603323811650085E-05</v>
      </c>
      <c r="Z200" s="15">
        <f t="shared" si="17"/>
        <v>-2.0560760887065705</v>
      </c>
    </row>
    <row r="201" spans="4:26" ht="12">
      <c r="D201" t="s">
        <v>83</v>
      </c>
      <c r="E201" s="4">
        <f>(TAN(PI()*E196/44100)-1)/(TAN(PI()*E196/44100)+1)</f>
        <v>-0.9784134089826766</v>
      </c>
      <c r="R201" s="13">
        <v>53.82878779415637</v>
      </c>
      <c r="S201" s="13">
        <f t="shared" si="10"/>
        <v>0.0076693026886968515</v>
      </c>
      <c r="T201" s="13">
        <f t="shared" si="11"/>
        <v>5.881791543299381E-05</v>
      </c>
      <c r="U201" s="14">
        <f t="shared" si="12"/>
        <v>-2.1199989195648214</v>
      </c>
      <c r="V201" s="14">
        <f t="shared" si="13"/>
        <v>-0.08912721721613792</v>
      </c>
      <c r="W201" s="14">
        <f t="shared" si="14"/>
        <v>0.03034453727146058</v>
      </c>
      <c r="X201" s="14">
        <f t="shared" si="15"/>
        <v>0.0045209556645327</v>
      </c>
      <c r="Y201" s="14">
        <f t="shared" si="16"/>
        <v>1.7738857787552575E-05</v>
      </c>
      <c r="Z201" s="15">
        <f t="shared" si="17"/>
        <v>-2.1742429049871785</v>
      </c>
    </row>
    <row r="202" spans="4:26" ht="12">
      <c r="D202" t="s">
        <v>80</v>
      </c>
      <c r="E202">
        <f>IF(E195&lt;1,E200,E201)</f>
        <v>-0.9784134089826766</v>
      </c>
      <c r="R202" s="13">
        <v>54.905363550039496</v>
      </c>
      <c r="S202" s="13">
        <f t="shared" si="10"/>
        <v>0.00782268874247079</v>
      </c>
      <c r="T202" s="13">
        <f t="shared" si="11"/>
        <v>6.119414709872977E-05</v>
      </c>
      <c r="U202" s="14">
        <f t="shared" si="12"/>
        <v>-2.244089313968061</v>
      </c>
      <c r="V202" s="14">
        <f t="shared" si="13"/>
        <v>-0.09293406268501059</v>
      </c>
      <c r="W202" s="14">
        <f t="shared" si="14"/>
        <v>0.03157309257305485</v>
      </c>
      <c r="X202" s="14">
        <f t="shared" si="15"/>
        <v>0.0047035391600616094</v>
      </c>
      <c r="Y202" s="14">
        <f t="shared" si="16"/>
        <v>1.6839464013873595E-05</v>
      </c>
      <c r="Z202" s="15">
        <f t="shared" si="17"/>
        <v>-2.3007299054559414</v>
      </c>
    </row>
    <row r="203" spans="18:26" ht="12">
      <c r="R203" s="13">
        <v>56.00347082104029</v>
      </c>
      <c r="S203" s="13">
        <f t="shared" si="10"/>
        <v>0.007979142517320204</v>
      </c>
      <c r="T203" s="13">
        <f t="shared" si="11"/>
        <v>6.366637752487064E-05</v>
      </c>
      <c r="U203" s="14">
        <f t="shared" si="12"/>
        <v>-2.3771082997987065</v>
      </c>
      <c r="V203" s="14">
        <f t="shared" si="13"/>
        <v>-0.09691235285060884</v>
      </c>
      <c r="W203" s="14">
        <f t="shared" si="14"/>
        <v>0.03285149879964422</v>
      </c>
      <c r="X203" s="14">
        <f t="shared" si="15"/>
        <v>0.004893493829450257</v>
      </c>
      <c r="Y203" s="14">
        <f t="shared" si="16"/>
        <v>1.5903731134248034E-05</v>
      </c>
      <c r="Z203" s="15">
        <f t="shared" si="17"/>
        <v>-2.4362597562890866</v>
      </c>
    </row>
    <row r="204" spans="18:26" ht="12">
      <c r="R204" s="13">
        <v>57.12354023746109</v>
      </c>
      <c r="S204" s="13">
        <f t="shared" si="10"/>
        <v>0.008138725367666608</v>
      </c>
      <c r="T204" s="13">
        <f t="shared" si="11"/>
        <v>6.623848497899641E-05</v>
      </c>
      <c r="U204" s="14">
        <f t="shared" si="12"/>
        <v>-2.519848007992806</v>
      </c>
      <c r="V204" s="14">
        <f t="shared" si="13"/>
        <v>-0.10107055439566182</v>
      </c>
      <c r="W204" s="14">
        <f t="shared" si="14"/>
        <v>0.03418178784034609</v>
      </c>
      <c r="X204" s="14">
        <f t="shared" si="15"/>
        <v>0.005091117039935256</v>
      </c>
      <c r="Y204" s="14">
        <f t="shared" si="16"/>
        <v>1.4930190753492667E-05</v>
      </c>
      <c r="Z204" s="15">
        <f t="shared" si="17"/>
        <v>-2.581630727317433</v>
      </c>
    </row>
    <row r="205" spans="18:26" ht="12">
      <c r="R205" s="13">
        <v>58.266011042210316</v>
      </c>
      <c r="S205" s="13">
        <f t="shared" si="10"/>
        <v>0.00830149987501994</v>
      </c>
      <c r="T205" s="13">
        <f t="shared" si="11"/>
        <v>6.891450440390974E-05</v>
      </c>
      <c r="U205" s="14">
        <f t="shared" si="12"/>
        <v>-2.6731851910595026</v>
      </c>
      <c r="V205" s="14">
        <f t="shared" si="13"/>
        <v>-0.10541761425567131</v>
      </c>
      <c r="W205" s="14">
        <f t="shared" si="14"/>
        <v>0.0355660751490845</v>
      </c>
      <c r="X205" s="14">
        <f t="shared" si="15"/>
        <v>0.0052967181371395</v>
      </c>
      <c r="Y205" s="14">
        <f t="shared" si="16"/>
        <v>1.3917315127454088E-05</v>
      </c>
      <c r="Z205" s="15">
        <f t="shared" si="17"/>
        <v>-2.7377260947138224</v>
      </c>
    </row>
    <row r="206" spans="18:26" ht="12">
      <c r="R206" s="13">
        <v>59.431331263054524</v>
      </c>
      <c r="S206" s="13">
        <f t="shared" si="10"/>
        <v>0.00846752987252034</v>
      </c>
      <c r="T206" s="13">
        <f t="shared" si="11"/>
        <v>7.169863374675553E-05</v>
      </c>
      <c r="U206" s="14">
        <f t="shared" si="12"/>
        <v>-2.8380920233090166</v>
      </c>
      <c r="V206" s="14">
        <f t="shared" si="13"/>
        <v>-0.10996299190621528</v>
      </c>
      <c r="W206" s="14">
        <f t="shared" si="14"/>
        <v>0.0370065632423362</v>
      </c>
      <c r="X206" s="14">
        <f t="shared" si="15"/>
        <v>0.005510618926106048</v>
      </c>
      <c r="Y206" s="14">
        <f t="shared" si="16"/>
        <v>1.2863514764926975E-05</v>
      </c>
      <c r="Z206" s="15">
        <f t="shared" si="17"/>
        <v>-2.9055249695320247</v>
      </c>
    </row>
    <row r="207" spans="18:26" ht="12">
      <c r="R207" s="13">
        <v>60.61995788831562</v>
      </c>
      <c r="S207" s="13">
        <f t="shared" si="10"/>
        <v>0.008636880469970748</v>
      </c>
      <c r="T207" s="13">
        <f t="shared" si="11"/>
        <v>7.459524054379074E-05</v>
      </c>
      <c r="U207" s="14">
        <f t="shared" si="12"/>
        <v>-3.015648602129943</v>
      </c>
      <c r="V207" s="14">
        <f t="shared" si="13"/>
        <v>-0.11471669421904096</v>
      </c>
      <c r="W207" s="14">
        <f t="shared" si="14"/>
        <v>0.03850554534820816</v>
      </c>
      <c r="X207" s="14">
        <f t="shared" si="15"/>
        <v>0.005733154171523758</v>
      </c>
      <c r="Y207" s="14">
        <f t="shared" si="16"/>
        <v>1.1767135930096373E-05</v>
      </c>
      <c r="Z207" s="15">
        <f t="shared" si="17"/>
        <v>-3.086114829693322</v>
      </c>
    </row>
    <row r="208" spans="18:26" ht="12">
      <c r="R208" s="13">
        <v>61.83235704608193</v>
      </c>
      <c r="S208" s="13">
        <f t="shared" si="10"/>
        <v>0.008809618079370163</v>
      </c>
      <c r="T208" s="13">
        <f t="shared" si="11"/>
        <v>7.760886877112903E-05</v>
      </c>
      <c r="U208" s="14">
        <f t="shared" si="12"/>
        <v>-3.2070574981515563</v>
      </c>
      <c r="V208" s="14">
        <f t="shared" si="13"/>
        <v>-0.1196893131223078</v>
      </c>
      <c r="W208" s="14">
        <f t="shared" si="14"/>
        <v>0.04006540921377422</v>
      </c>
      <c r="X208" s="14">
        <f t="shared" si="15"/>
        <v>0.0059646721178934214</v>
      </c>
      <c r="Y208" s="14">
        <f t="shared" si="16"/>
        <v>1.0626458045948084E-05</v>
      </c>
      <c r="Z208" s="15">
        <f t="shared" si="17"/>
        <v>-3.2807061034841505</v>
      </c>
    </row>
    <row r="209" spans="18:26" ht="12">
      <c r="R209" s="13">
        <v>63.06900418700357</v>
      </c>
      <c r="S209" s="13">
        <f t="shared" si="10"/>
        <v>0.008985810440957566</v>
      </c>
      <c r="T209" s="13">
        <f t="shared" si="11"/>
        <v>8.07442459722013E-05</v>
      </c>
      <c r="U209" s="14">
        <f t="shared" si="12"/>
        <v>-3.4136607945824977</v>
      </c>
      <c r="V209" s="14">
        <f t="shared" si="13"/>
        <v>-0.1248920663258204</v>
      </c>
      <c r="W209" s="14">
        <f t="shared" si="14"/>
        <v>0.04168864107801795</v>
      </c>
      <c r="X209" s="14">
        <f t="shared" si="15"/>
        <v>0.006205535030442633</v>
      </c>
      <c r="Y209" s="14">
        <f t="shared" si="16"/>
        <v>9.439690989765381E-06</v>
      </c>
      <c r="Z209" s="15">
        <f t="shared" si="17"/>
        <v>-3.4906492451088678</v>
      </c>
    </row>
    <row r="210" spans="18:26" ht="12">
      <c r="R210" s="13">
        <v>64.33038427074365</v>
      </c>
      <c r="S210" s="13">
        <f t="shared" si="10"/>
        <v>0.009165526649776719</v>
      </c>
      <c r="T210" s="13">
        <f t="shared" si="11"/>
        <v>8.400629067310735E-05</v>
      </c>
      <c r="U210" s="14">
        <f t="shared" si="12"/>
        <v>-3.636960178270286</v>
      </c>
      <c r="V210" s="14">
        <f t="shared" si="13"/>
        <v>-0.1303368413984174</v>
      </c>
      <c r="W210" s="14">
        <f t="shared" si="14"/>
        <v>0.04337782981794902</v>
      </c>
      <c r="X210" s="14">
        <f t="shared" si="15"/>
        <v>0.0064561197575967455</v>
      </c>
      <c r="Y210" s="14">
        <f t="shared" si="16"/>
        <v>8.204972283376577E-06</v>
      </c>
      <c r="Z210" s="15">
        <f t="shared" si="17"/>
        <v>-3.717454865120874</v>
      </c>
    </row>
    <row r="211" spans="18:26" ht="12">
      <c r="R211" s="13">
        <v>65.61699195615853</v>
      </c>
      <c r="S211" s="13">
        <f t="shared" si="10"/>
        <v>0.009348837182772253</v>
      </c>
      <c r="T211" s="13">
        <f t="shared" si="11"/>
        <v>8.740012009748406E-05</v>
      </c>
      <c r="U211" s="14">
        <f t="shared" si="12"/>
        <v>-3.8786408078151595</v>
      </c>
      <c r="V211" s="14">
        <f t="shared" si="13"/>
        <v>-0.13603624351525667</v>
      </c>
      <c r="W211" s="14">
        <f t="shared" si="14"/>
        <v>0.04513567127608553</v>
      </c>
      <c r="X211" s="14">
        <f t="shared" si="15"/>
        <v>0.006716818315819495</v>
      </c>
      <c r="Y211" s="14">
        <f t="shared" si="16"/>
        <v>6.920364162610326E-06</v>
      </c>
      <c r="Z211" s="15">
        <f t="shared" si="17"/>
        <v>-3.9628176413743486</v>
      </c>
    </row>
    <row r="212" spans="18:26" ht="12">
      <c r="R212" s="13">
        <v>66.9293317952817</v>
      </c>
      <c r="S212" s="13">
        <f t="shared" si="10"/>
        <v>0.009535813926427697</v>
      </c>
      <c r="T212" s="13">
        <f t="shared" si="11"/>
        <v>9.093105819298628E-05</v>
      </c>
      <c r="U212" s="14">
        <f t="shared" si="12"/>
        <v>-4.1405999022077395</v>
      </c>
      <c r="V212" s="14">
        <f t="shared" si="13"/>
        <v>-0.1420036472268933</v>
      </c>
      <c r="W212" s="14">
        <f t="shared" si="14"/>
        <v>0.04696497277758027</v>
      </c>
      <c r="X212" s="14">
        <f t="shared" si="15"/>
        <v>0.006988038497767413</v>
      </c>
      <c r="Y212" s="14">
        <f t="shared" si="16"/>
        <v>5.583850537060897E-06</v>
      </c>
      <c r="Z212" s="15">
        <f t="shared" si="17"/>
        <v>-4.2286449543087485</v>
      </c>
    </row>
    <row r="213" spans="18:26" ht="12">
      <c r="R213" s="13">
        <v>68.26791843118734</v>
      </c>
      <c r="S213" s="13">
        <f t="shared" si="10"/>
        <v>0.009726530204956252</v>
      </c>
      <c r="T213" s="13">
        <f t="shared" si="11"/>
        <v>9.460464398196299E-05</v>
      </c>
      <c r="U213" s="14">
        <f t="shared" si="12"/>
        <v>-4.424981287373001</v>
      </c>
      <c r="V213" s="14">
        <f t="shared" si="13"/>
        <v>-0.14825325263934275</v>
      </c>
      <c r="W213" s="14">
        <f t="shared" si="14"/>
        <v>0.048868657846036</v>
      </c>
      <c r="X213" s="14">
        <f t="shared" si="15"/>
        <v>0.007270204504597366</v>
      </c>
      <c r="Y213" s="14">
        <f t="shared" si="16"/>
        <v>4.193333818403033E-06</v>
      </c>
      <c r="Z213" s="15">
        <f t="shared" si="17"/>
        <v>-4.517091484327892</v>
      </c>
    </row>
    <row r="214" spans="18:26" ht="12">
      <c r="R214" s="13">
        <v>69.63327679981109</v>
      </c>
      <c r="S214" s="13">
        <f t="shared" si="10"/>
        <v>0.009921060809055377</v>
      </c>
      <c r="T214" s="13">
        <f t="shared" si="11"/>
        <v>9.842664024942025E-05</v>
      </c>
      <c r="U214" s="14">
        <f t="shared" si="12"/>
        <v>-4.734217535756272</v>
      </c>
      <c r="V214" s="14">
        <f t="shared" si="13"/>
        <v>-0.1548001464371751</v>
      </c>
      <c r="W214" s="14">
        <f t="shared" si="14"/>
        <v>0.05084977112733213</v>
      </c>
      <c r="X214" s="14">
        <f t="shared" si="15"/>
        <v>0.00756375760342376</v>
      </c>
      <c r="Y214" s="14">
        <f t="shared" si="16"/>
        <v>2.7466316288027315E-06</v>
      </c>
      <c r="Z214" s="15">
        <f t="shared" si="17"/>
        <v>-4.830601406831063</v>
      </c>
    </row>
    <row r="215" spans="18:26" ht="12">
      <c r="R215" s="13">
        <v>71.02594233580731</v>
      </c>
      <c r="S215" s="13">
        <f t="shared" si="10"/>
        <v>0.010119482025236486</v>
      </c>
      <c r="T215" s="13">
        <f t="shared" si="11"/>
        <v>0.00010240304258189176</v>
      </c>
      <c r="U215" s="14">
        <f t="shared" si="12"/>
        <v>-5.0710818738574375</v>
      </c>
      <c r="V215" s="14">
        <f t="shared" si="13"/>
        <v>-0.1616603682288016</v>
      </c>
      <c r="W215" s="14">
        <f t="shared" si="14"/>
        <v>0.052911483531133285</v>
      </c>
      <c r="X215" s="14">
        <f t="shared" si="15"/>
        <v>0.00786915681088729</v>
      </c>
      <c r="Y215" s="14">
        <f t="shared" si="16"/>
        <v>1.241473364999024E-06</v>
      </c>
      <c r="Z215" s="15">
        <f t="shared" si="17"/>
        <v>-5.1719603602708535</v>
      </c>
    </row>
    <row r="216" spans="18:26" ht="12">
      <c r="R216" s="13">
        <v>72.44646118252346</v>
      </c>
      <c r="S216" s="13">
        <f t="shared" si="10"/>
        <v>0.010321871665741215</v>
      </c>
      <c r="T216" s="13">
        <f t="shared" si="11"/>
        <v>0.00010654008877138467</v>
      </c>
      <c r="U216" s="14">
        <f t="shared" si="12"/>
        <v>-5.438752765270891</v>
      </c>
      <c r="V216" s="14">
        <f t="shared" si="13"/>
        <v>-0.16885098274649835</v>
      </c>
      <c r="W216" s="14">
        <f t="shared" si="14"/>
        <v>0.05505709760078048</v>
      </c>
      <c r="X216" s="14">
        <f t="shared" si="15"/>
        <v>0.008186879603853114</v>
      </c>
      <c r="Y216" s="14">
        <f t="shared" si="16"/>
        <v>-3.245033646237516E-07</v>
      </c>
      <c r="Z216" s="15">
        <f t="shared" si="17"/>
        <v>-5.5443600953161205</v>
      </c>
    </row>
    <row r="217" spans="18:26" ht="12">
      <c r="R217" s="13">
        <v>73.89539040617393</v>
      </c>
      <c r="S217" s="13">
        <f t="shared" si="10"/>
        <v>0.01052830909905604</v>
      </c>
      <c r="T217" s="13">
        <f t="shared" si="11"/>
        <v>0.00011084426859914379</v>
      </c>
      <c r="U217" s="14">
        <f t="shared" si="12"/>
        <v>-5.840895067214973</v>
      </c>
      <c r="V217" s="14">
        <f t="shared" si="13"/>
        <v>-0.1763901584933265</v>
      </c>
      <c r="W217" s="14">
        <f t="shared" si="14"/>
        <v>0.05729005312214497</v>
      </c>
      <c r="X217" s="14">
        <f t="shared" si="15"/>
        <v>0.008517422658302465</v>
      </c>
      <c r="Y217" s="14">
        <f t="shared" si="16"/>
        <v>-1.9537564570626387E-06</v>
      </c>
      <c r="Z217" s="15">
        <f t="shared" si="17"/>
        <v>-5.951479703684309</v>
      </c>
    </row>
    <row r="218" spans="18:26" ht="12">
      <c r="R218" s="13">
        <v>75.3732982142974</v>
      </c>
      <c r="S218" s="13">
        <f t="shared" si="10"/>
        <v>0.01073887528103716</v>
      </c>
      <c r="T218" s="13">
        <f t="shared" si="11"/>
        <v>0.0001153223340145693</v>
      </c>
      <c r="U218" s="14">
        <f t="shared" si="12"/>
        <v>-6.281762981808711</v>
      </c>
      <c r="V218" s="14">
        <f t="shared" si="13"/>
        <v>-0.1842972534963394</v>
      </c>
      <c r="W218" s="14">
        <f t="shared" si="14"/>
        <v>0.05961393298310469</v>
      </c>
      <c r="X218" s="14">
        <f t="shared" si="15"/>
        <v>0.008861302617496847</v>
      </c>
      <c r="Y218" s="14">
        <f t="shared" si="16"/>
        <v>-3.6488431760517415E-06</v>
      </c>
      <c r="Z218" s="15">
        <f t="shared" si="17"/>
        <v>-6.397588648547625</v>
      </c>
    </row>
    <row r="219" spans="18:26" ht="12">
      <c r="R219" s="13">
        <v>76.88076417858336</v>
      </c>
      <c r="S219" s="13">
        <f t="shared" si="10"/>
        <v>0.010953652786657905</v>
      </c>
      <c r="T219" s="13">
        <f t="shared" si="11"/>
        <v>0.00011998130972524346</v>
      </c>
      <c r="U219" s="14">
        <f t="shared" si="12"/>
        <v>-6.766331744879736</v>
      </c>
      <c r="V219" s="14">
        <f t="shared" si="13"/>
        <v>-0.19259290890092018</v>
      </c>
      <c r="W219" s="14">
        <f t="shared" si="14"/>
        <v>0.062032469295672854</v>
      </c>
      <c r="X219" s="14">
        <f t="shared" si="15"/>
        <v>0.009219056890588107</v>
      </c>
      <c r="Y219" s="14">
        <f t="shared" si="16"/>
        <v>-5.41242417329002E-06</v>
      </c>
      <c r="Z219" s="15">
        <f t="shared" si="17"/>
        <v>-6.887678540018568</v>
      </c>
    </row>
    <row r="220" spans="18:26" ht="12">
      <c r="R220" s="13">
        <v>78.41837946215503</v>
      </c>
      <c r="S220" s="13">
        <f t="shared" si="10"/>
        <v>0.011172725842391065</v>
      </c>
      <c r="T220" s="13">
        <f t="shared" si="11"/>
        <v>0.00012482850421466512</v>
      </c>
      <c r="U220" s="14">
        <f t="shared" si="12"/>
        <v>-7.30046710570754</v>
      </c>
      <c r="V220" s="14">
        <f t="shared" si="13"/>
        <v>-0.2012991512263369</v>
      </c>
      <c r="W220" s="14">
        <f t="shared" si="14"/>
        <v>0.06454954979358263</v>
      </c>
      <c r="X220" s="14">
        <f t="shared" si="15"/>
        <v>0.0095912444827988</v>
      </c>
      <c r="Y220" s="14">
        <f t="shared" si="16"/>
        <v>-7.247267669985291E-06</v>
      </c>
      <c r="Z220" s="15">
        <f t="shared" si="17"/>
        <v>-7.427632709925165</v>
      </c>
    </row>
    <row r="221" spans="18:26" ht="12">
      <c r="R221" s="13">
        <v>79.98674705139813</v>
      </c>
      <c r="S221" s="13">
        <f t="shared" si="10"/>
        <v>0.011396180359238884</v>
      </c>
      <c r="T221" s="13">
        <f t="shared" si="11"/>
        <v>0.00012987152120496113</v>
      </c>
      <c r="U221" s="14">
        <f t="shared" si="12"/>
        <v>-7.891143879547641</v>
      </c>
      <c r="V221" s="14">
        <f t="shared" si="13"/>
        <v>-0.21043950419817037</v>
      </c>
      <c r="W221" s="14">
        <f t="shared" si="14"/>
        <v>0.06716922451872875</v>
      </c>
      <c r="X221" s="14">
        <f t="shared" si="15"/>
        <v>0.009978446858450951</v>
      </c>
      <c r="Y221" s="14">
        <f t="shared" si="16"/>
        <v>-9.156253811593018E-06</v>
      </c>
      <c r="Z221" s="15">
        <f t="shared" si="17"/>
        <v>-8.024444868622444</v>
      </c>
    </row>
    <row r="222" spans="18:26" ht="12">
      <c r="R222" s="13">
        <v>81.58648199242609</v>
      </c>
      <c r="S222" s="13">
        <f t="shared" si="10"/>
        <v>0.011624103966423662</v>
      </c>
      <c r="T222" s="13">
        <f t="shared" si="11"/>
        <v>0.00013511827158254</v>
      </c>
      <c r="U222" s="14">
        <f t="shared" si="12"/>
        <v>-8.546726146979566</v>
      </c>
      <c r="V222" s="14">
        <f t="shared" si="13"/>
        <v>-0.22003911118240893</v>
      </c>
      <c r="W222" s="14">
        <f t="shared" si="14"/>
        <v>0.06989571281066276</v>
      </c>
      <c r="X222" s="14">
        <f t="shared" si="15"/>
        <v>0.010381268838076885</v>
      </c>
      <c r="Y222" s="14">
        <f t="shared" si="16"/>
        <v>-1.1142379196638075E-05</v>
      </c>
      <c r="Z222" s="15">
        <f t="shared" si="17"/>
        <v>-8.686499418892431</v>
      </c>
    </row>
    <row r="223" spans="18:26" ht="12">
      <c r="R223" s="13">
        <v>83.21821163227462</v>
      </c>
      <c r="S223" s="13">
        <f t="shared" si="10"/>
        <v>0.011856586045752137</v>
      </c>
      <c r="T223" s="13">
        <f t="shared" si="11"/>
        <v>0.000140576985805378</v>
      </c>
      <c r="U223" s="14">
        <f t="shared" si="12"/>
        <v>-9.277318755345888</v>
      </c>
      <c r="V223" s="14">
        <f t="shared" si="13"/>
        <v>-0.23012486936741539</v>
      </c>
      <c r="W223" s="14">
        <f t="shared" si="14"/>
        <v>0.07273341061407734</v>
      </c>
      <c r="X223" s="14">
        <f t="shared" si="15"/>
        <v>0.010800339530927516</v>
      </c>
      <c r="Y223" s="14">
        <f t="shared" si="16"/>
        <v>-1.3208761582728101E-05</v>
      </c>
      <c r="Z223" s="15">
        <f t="shared" si="17"/>
        <v>-9.423923083329882</v>
      </c>
    </row>
    <row r="224" spans="18:26" ht="12">
      <c r="R224" s="13">
        <v>84.88257586492011</v>
      </c>
      <c r="S224" s="13">
        <f t="shared" si="10"/>
        <v>0.01209371776666718</v>
      </c>
      <c r="T224" s="13">
        <f t="shared" si="11"/>
        <v>0.00014625622681138217</v>
      </c>
      <c r="U224" s="14">
        <f t="shared" si="12"/>
        <v>-10.095183128412913</v>
      </c>
      <c r="V224" s="14">
        <f t="shared" si="13"/>
        <v>-0.24072557697966346</v>
      </c>
      <c r="W224" s="14">
        <f t="shared" si="14"/>
        <v>0.07568689812011797</v>
      </c>
      <c r="X224" s="14">
        <f t="shared" si="15"/>
        <v>0.011236313304255674</v>
      </c>
      <c r="Y224" s="14">
        <f t="shared" si="16"/>
        <v>-1.535864480040061E-05</v>
      </c>
      <c r="Z224" s="15">
        <f t="shared" si="17"/>
        <v>-10.249000852613003</v>
      </c>
    </row>
    <row r="225" spans="18:26" ht="12">
      <c r="R225" s="13">
        <v>86.58022738221852</v>
      </c>
      <c r="S225" s="13">
        <f t="shared" si="10"/>
        <v>0.012335592122000524</v>
      </c>
      <c r="T225" s="13">
        <f t="shared" si="11"/>
        <v>0.00015216490344805973</v>
      </c>
      <c r="U225" s="14">
        <f t="shared" si="12"/>
        <v>-11.015152710566454</v>
      </c>
      <c r="V225" s="14">
        <f t="shared" si="13"/>
        <v>-0.25187209497562435</v>
      </c>
      <c r="W225" s="14">
        <f t="shared" si="14"/>
        <v>0.07876094775810571</v>
      </c>
      <c r="X225" s="14">
        <f t="shared" si="15"/>
        <v>0.011689870790778656</v>
      </c>
      <c r="Y225" s="14">
        <f t="shared" si="16"/>
        <v>-1.7595403849046676E-05</v>
      </c>
      <c r="Z225" s="15">
        <f t="shared" si="17"/>
        <v>-11.176591582397043</v>
      </c>
    </row>
    <row r="226" spans="18:26" ht="12">
      <c r="R226" s="13">
        <v>88.31183192986289</v>
      </c>
      <c r="S226" s="13">
        <f t="shared" si="10"/>
        <v>0.012582303964440534</v>
      </c>
      <c r="T226" s="13">
        <f t="shared" si="11"/>
        <v>0.0001583122844445383</v>
      </c>
      <c r="U226" s="14">
        <f t="shared" si="12"/>
        <v>-12.054805566547884</v>
      </c>
      <c r="V226" s="14">
        <f t="shared" si="13"/>
        <v>-0.26359752483043053</v>
      </c>
      <c r="W226" s="14">
        <f t="shared" si="14"/>
        <v>0.08196053255532121</v>
      </c>
      <c r="X226" s="14">
        <f t="shared" si="15"/>
        <v>0.012161719935773974</v>
      </c>
      <c r="Y226" s="14">
        <f t="shared" si="16"/>
        <v>-1.9922550205553335E-05</v>
      </c>
      <c r="Z226" s="15">
        <f t="shared" si="17"/>
        <v>-12.224300761437425</v>
      </c>
    </row>
    <row r="227" spans="18:26" ht="12">
      <c r="R227" s="13">
        <v>90.07806856846015</v>
      </c>
      <c r="S227" s="13">
        <f t="shared" si="10"/>
        <v>0.012833950043729347</v>
      </c>
      <c r="T227" s="13">
        <f t="shared" si="11"/>
        <v>0.00016470801294783043</v>
      </c>
      <c r="U227" s="14">
        <f t="shared" si="12"/>
        <v>-13.233620390026644</v>
      </c>
      <c r="V227" s="14">
        <f t="shared" si="13"/>
        <v>-0.2759374042468892</v>
      </c>
      <c r="W227" s="14">
        <f t="shared" si="14"/>
        <v>0.0852908348834589</v>
      </c>
      <c r="X227" s="14">
        <f t="shared" si="15"/>
        <v>0.012652597085336836</v>
      </c>
      <c r="Y227" s="14">
        <f t="shared" si="16"/>
        <v>-2.234373735054973E-05</v>
      </c>
      <c r="Z227" s="15">
        <f t="shared" si="17"/>
        <v>-13.411636706042088</v>
      </c>
    </row>
    <row r="228" spans="18:26" ht="12">
      <c r="R228" s="13">
        <v>91.87962993982936</v>
      </c>
      <c r="S228" s="13">
        <f t="shared" si="10"/>
        <v>0.013090629044603933</v>
      </c>
      <c r="T228" s="13">
        <f t="shared" si="11"/>
        <v>0.00017136212164612033</v>
      </c>
      <c r="U228" s="14">
        <f t="shared" si="12"/>
        <v>-14.568764765984653</v>
      </c>
      <c r="V228" s="14">
        <f t="shared" si="13"/>
        <v>-0.28892992283802954</v>
      </c>
      <c r="W228" s="14">
        <f t="shared" si="14"/>
        <v>0.08875725561135539</v>
      </c>
      <c r="X228" s="14">
        <f t="shared" si="15"/>
        <v>0.013163268117354576</v>
      </c>
      <c r="Y228" s="14">
        <f t="shared" si="16"/>
        <v>-2.48627665180301E-05</v>
      </c>
      <c r="Z228" s="15">
        <f t="shared" si="17"/>
        <v>-14.75579902786049</v>
      </c>
    </row>
    <row r="229" spans="18:26" ht="12">
      <c r="R229" s="13">
        <v>93.71722253862595</v>
      </c>
      <c r="S229" s="13">
        <f t="shared" si="10"/>
        <v>0.01335244162549601</v>
      </c>
      <c r="T229" s="13">
        <f t="shared" si="11"/>
        <v>0.00017828504850276802</v>
      </c>
      <c r="U229" s="14">
        <f t="shared" si="12"/>
        <v>-16.060593339638103</v>
      </c>
      <c r="V229" s="14">
        <f t="shared" si="13"/>
        <v>-0.3026161600995181</v>
      </c>
      <c r="W229" s="14">
        <f t="shared" si="14"/>
        <v>0.0923654236847824</v>
      </c>
      <c r="X229" s="14">
        <f t="shared" si="15"/>
        <v>0.013694529616842921</v>
      </c>
      <c r="Y229" s="14">
        <f t="shared" si="16"/>
        <v>-2.7483592673238633E-05</v>
      </c>
      <c r="Z229" s="15">
        <f t="shared" si="17"/>
        <v>-16.25717703002867</v>
      </c>
    </row>
    <row r="230" spans="18:26" ht="12">
      <c r="R230" s="13">
        <v>95.59156698939847</v>
      </c>
      <c r="S230" s="13">
        <f t="shared" si="10"/>
        <v>0.013619490458005933</v>
      </c>
      <c r="T230" s="13">
        <f t="shared" si="11"/>
        <v>0.00018548765312568152</v>
      </c>
      <c r="U230" s="14">
        <f t="shared" si="12"/>
        <v>-17.649395787860342</v>
      </c>
      <c r="V230" s="14">
        <f t="shared" si="13"/>
        <v>-0.31704034828624117</v>
      </c>
      <c r="W230" s="14">
        <f t="shared" si="14"/>
        <v>0.09612120615534536</v>
      </c>
      <c r="X230" s="14">
        <f t="shared" si="15"/>
        <v>0.014247210097305896</v>
      </c>
      <c r="Y230" s="14">
        <f t="shared" si="16"/>
        <v>-3.0210330740576552E-05</v>
      </c>
      <c r="Z230" s="15">
        <f t="shared" si="17"/>
        <v>-17.856097930224674</v>
      </c>
    </row>
    <row r="231" spans="18:26" ht="12">
      <c r="R231" s="13">
        <v>97.50339832918644</v>
      </c>
      <c r="S231" s="13">
        <f t="shared" si="10"/>
        <v>0.01389188026716605</v>
      </c>
      <c r="T231" s="13">
        <f t="shared" si="11"/>
        <v>0.0001929812337977034</v>
      </c>
      <c r="U231" s="14">
        <f t="shared" si="12"/>
        <v>-19.112101883864355</v>
      </c>
      <c r="V231" s="14">
        <f t="shared" si="13"/>
        <v>-0.33225016315001454</v>
      </c>
      <c r="W231" s="14">
        <f t="shared" si="14"/>
        <v>0.10003071868162294</v>
      </c>
      <c r="X231" s="14">
        <f t="shared" si="15"/>
        <v>0.014822171269860185</v>
      </c>
      <c r="Y231" s="14">
        <f t="shared" si="16"/>
        <v>-3.304726207842279E-05</v>
      </c>
      <c r="Z231" s="15">
        <f t="shared" si="17"/>
        <v>-19.329532204324966</v>
      </c>
    </row>
    <row r="232" spans="18:26" ht="12">
      <c r="R232" s="13">
        <v>99.45346629577017</v>
      </c>
      <c r="S232" s="13">
        <f t="shared" si="10"/>
        <v>0.014169717872509372</v>
      </c>
      <c r="T232" s="13">
        <f t="shared" si="11"/>
        <v>0.0002007775451946911</v>
      </c>
      <c r="U232" s="14">
        <f t="shared" si="12"/>
        <v>-19.954244201936334</v>
      </c>
      <c r="V232" s="14">
        <f t="shared" si="13"/>
        <v>-0.3482970458846921</v>
      </c>
      <c r="W232" s="14">
        <f t="shared" si="14"/>
        <v>0.10410033652728146</v>
      </c>
      <c r="X232" s="14">
        <f t="shared" si="15"/>
        <v>0.015420309361960705</v>
      </c>
      <c r="Y232" s="14">
        <f t="shared" si="16"/>
        <v>-3.5998841221296374E-05</v>
      </c>
      <c r="Z232" s="15">
        <f t="shared" si="17"/>
        <v>-20.183056600773003</v>
      </c>
    </row>
    <row r="233" spans="18:26" ht="12">
      <c r="R233" s="13">
        <v>101.44253562168558</v>
      </c>
      <c r="S233" s="13">
        <f t="shared" si="10"/>
        <v>0.01445311222995956</v>
      </c>
      <c r="T233" s="13">
        <f t="shared" si="11"/>
        <v>0.00020888881681904535</v>
      </c>
      <c r="U233" s="14">
        <f t="shared" si="12"/>
        <v>-19.695293814398227</v>
      </c>
      <c r="V233" s="14">
        <f t="shared" si="13"/>
        <v>-0.36523656007232574</v>
      </c>
      <c r="W233" s="14">
        <f t="shared" si="14"/>
        <v>0.10833670608211321</v>
      </c>
      <c r="X233" s="14">
        <f t="shared" si="15"/>
        <v>0.01604255648754105</v>
      </c>
      <c r="Y233" s="14">
        <f t="shared" si="16"/>
        <v>-3.9069702888916424E-05</v>
      </c>
      <c r="Z233" s="15">
        <f t="shared" si="17"/>
        <v>-19.936190181603788</v>
      </c>
    </row>
    <row r="234" spans="18:26" ht="12">
      <c r="R234" s="13">
        <v>103.47138633411929</v>
      </c>
      <c r="S234" s="13">
        <f t="shared" si="10"/>
        <v>0.01474217447455875</v>
      </c>
      <c r="T234" s="13">
        <f t="shared" si="11"/>
        <v>0.0002173277721775622</v>
      </c>
      <c r="U234" s="14">
        <f t="shared" si="12"/>
        <v>-18.501137189930873</v>
      </c>
      <c r="V234" s="14">
        <f t="shared" si="13"/>
        <v>-0.3831287879359948</v>
      </c>
      <c r="W234" s="14">
        <f t="shared" si="14"/>
        <v>0.1127467569337881</v>
      </c>
      <c r="X234" s="14">
        <f t="shared" si="15"/>
        <v>0.01668988207053701</v>
      </c>
      <c r="Y234" s="14">
        <f t="shared" si="16"/>
        <v>-4.22646692896933E-05</v>
      </c>
      <c r="Z234" s="15">
        <f t="shared" si="17"/>
        <v>-18.754871603531832</v>
      </c>
    </row>
    <row r="235" spans="18:26" ht="12">
      <c r="R235" s="13">
        <v>105.54081406080168</v>
      </c>
      <c r="S235" s="13">
        <f t="shared" si="10"/>
        <v>0.015037017964049928</v>
      </c>
      <c r="T235" s="13">
        <f t="shared" si="11"/>
        <v>0.0002261076487336467</v>
      </c>
      <c r="U235" s="14">
        <f t="shared" si="12"/>
        <v>-16.938113971045595</v>
      </c>
      <c r="V235" s="14">
        <f t="shared" si="13"/>
        <v>-0.4020387707926574</v>
      </c>
      <c r="W235" s="14">
        <f t="shared" si="14"/>
        <v>0.11733771451930863</v>
      </c>
      <c r="X235" s="14">
        <f t="shared" si="15"/>
        <v>0.017363294323779144</v>
      </c>
      <c r="Y235" s="14">
        <f t="shared" si="16"/>
        <v>-4.558875771065729E-05</v>
      </c>
      <c r="Z235" s="15">
        <f t="shared" si="17"/>
        <v>-17.205497321752876</v>
      </c>
    </row>
    <row r="236" spans="18:26" ht="12">
      <c r="R236" s="13">
        <v>107.65163034201771</v>
      </c>
      <c r="S236" s="13">
        <f t="shared" si="10"/>
        <v>0.015337758323330926</v>
      </c>
      <c r="T236" s="13">
        <f t="shared" si="11"/>
        <v>0.00023524221866513643</v>
      </c>
      <c r="U236" s="14">
        <f t="shared" si="12"/>
        <v>-15.37796073436158</v>
      </c>
      <c r="V236" s="14">
        <f t="shared" si="13"/>
        <v>-0.4220369992743045</v>
      </c>
      <c r="W236" s="14">
        <f t="shared" si="14"/>
        <v>0.1221171133875174</v>
      </c>
      <c r="X236" s="14">
        <f t="shared" si="15"/>
        <v>0.018063841785298074</v>
      </c>
      <c r="Y236" s="14">
        <f t="shared" si="16"/>
        <v>-4.904718842313471E-05</v>
      </c>
      <c r="Z236" s="15">
        <f t="shared" si="17"/>
        <v>-15.65986582565149</v>
      </c>
    </row>
    <row r="237" spans="18:26" ht="12">
      <c r="R237" s="13">
        <v>109.80466294885807</v>
      </c>
      <c r="S237" s="13">
        <f t="shared" si="10"/>
        <v>0.01564451348979754</v>
      </c>
      <c r="T237" s="13">
        <f t="shared" si="11"/>
        <v>0.00024474581046024605</v>
      </c>
      <c r="U237" s="14">
        <f t="shared" si="12"/>
        <v>-13.953698217643947</v>
      </c>
      <c r="V237" s="14">
        <f t="shared" si="13"/>
        <v>-0.4431999596634526</v>
      </c>
      <c r="W237" s="14">
        <f t="shared" si="14"/>
        <v>0.12709281110524984</v>
      </c>
      <c r="X237" s="14">
        <f t="shared" si="15"/>
        <v>0.01879261491420614</v>
      </c>
      <c r="Y237" s="14">
        <f t="shared" si="16"/>
        <v>-5.264539290417147E-05</v>
      </c>
      <c r="Z237" s="15">
        <f t="shared" si="17"/>
        <v>-14.251065396680847</v>
      </c>
    </row>
    <row r="238" spans="18:26" ht="12">
      <c r="R238" s="13">
        <v>112.00075620783522</v>
      </c>
      <c r="S238" s="13">
        <f t="shared" si="10"/>
        <v>0.015957403759593494</v>
      </c>
      <c r="T238" s="13">
        <f t="shared" si="11"/>
        <v>0.00025463333138544945</v>
      </c>
      <c r="U238" s="14">
        <f t="shared" si="12"/>
        <v>-12.689798290982822</v>
      </c>
      <c r="V238" s="14">
        <f t="shared" si="13"/>
        <v>-0.46561074358334054</v>
      </c>
      <c r="W238" s="14">
        <f t="shared" si="14"/>
        <v>0.1322730028422754</v>
      </c>
      <c r="X238" s="14">
        <f t="shared" si="15"/>
        <v>0.019550747748328767</v>
      </c>
      <c r="Y238" s="14">
        <f t="shared" si="16"/>
        <v>-5.6389022399905286E-05</v>
      </c>
      <c r="Z238" s="15">
        <f t="shared" si="17"/>
        <v>-13.003641672997958</v>
      </c>
    </row>
    <row r="239" spans="18:26" ht="12">
      <c r="R239" s="13">
        <v>114.24077133199194</v>
      </c>
      <c r="S239" s="13">
        <f t="shared" si="10"/>
        <v>0.016276551834785366</v>
      </c>
      <c r="T239" s="13">
        <f t="shared" si="11"/>
        <v>0.00026492029086048314</v>
      </c>
      <c r="U239" s="14">
        <f t="shared" si="12"/>
        <v>-11.575414575332701</v>
      </c>
      <c r="V239" s="14">
        <f t="shared" si="13"/>
        <v>-0.489359729316277</v>
      </c>
      <c r="W239" s="14">
        <f t="shared" si="14"/>
        <v>0.1376662366719401</v>
      </c>
      <c r="X239" s="14">
        <f t="shared" si="15"/>
        <v>0.020339419625891253</v>
      </c>
      <c r="Y239" s="14">
        <f t="shared" si="16"/>
        <v>-6.028395682644572E-05</v>
      </c>
      <c r="Z239" s="15">
        <f t="shared" si="17"/>
        <v>-11.906828932307974</v>
      </c>
    </row>
    <row r="240" spans="18:26" ht="12">
      <c r="R240" s="13">
        <v>116.52558675863177</v>
      </c>
      <c r="S240" s="13">
        <f t="shared" si="10"/>
        <v>0.016602082871481072</v>
      </c>
      <c r="T240" s="13">
        <f t="shared" si="11"/>
        <v>0.00027562282477707004</v>
      </c>
      <c r="U240" s="14">
        <f t="shared" si="12"/>
        <v>-10.591421799487847</v>
      </c>
      <c r="V240" s="14">
        <f t="shared" si="13"/>
        <v>-0.5145453442157404</v>
      </c>
      <c r="W240" s="14">
        <f t="shared" si="14"/>
        <v>0.14328142962693136</v>
      </c>
      <c r="X240" s="14">
        <f t="shared" si="15"/>
        <v>0.02115985697356937</v>
      </c>
      <c r="Y240" s="14">
        <f t="shared" si="16"/>
        <v>-6.43363140375719E-05</v>
      </c>
      <c r="Z240" s="15">
        <f t="shared" si="17"/>
        <v>-10.941590193417126</v>
      </c>
    </row>
    <row r="241" spans="18:26" ht="12">
      <c r="R241" s="13">
        <v>118.85609849380441</v>
      </c>
      <c r="S241" s="13">
        <f t="shared" si="10"/>
        <v>0.016934124528910695</v>
      </c>
      <c r="T241" s="13">
        <f t="shared" si="11"/>
        <v>0.0002867577207994387</v>
      </c>
      <c r="U241" s="14">
        <f t="shared" si="12"/>
        <v>-9.718954884312453</v>
      </c>
      <c r="V241" s="14">
        <f t="shared" si="13"/>
        <v>-0.5412749190573294</v>
      </c>
      <c r="W241" s="14">
        <f t="shared" si="14"/>
        <v>0.14912788455190196</v>
      </c>
      <c r="X241" s="14">
        <f t="shared" si="15"/>
        <v>0.02201333516337911</v>
      </c>
      <c r="Y241" s="14">
        <f t="shared" si="16"/>
        <v>-6.855245947612332E-05</v>
      </c>
      <c r="Z241" s="15">
        <f t="shared" si="17"/>
        <v>-10.089157136113977</v>
      </c>
    </row>
    <row r="242" spans="18:26" ht="12">
      <c r="R242" s="13">
        <v>121.2332204636805</v>
      </c>
      <c r="S242" s="13">
        <f t="shared" si="10"/>
        <v>0.017272807019488908</v>
      </c>
      <c r="T242" s="13">
        <f t="shared" si="11"/>
        <v>0.0002983424446862446</v>
      </c>
      <c r="U242" s="14">
        <f t="shared" si="12"/>
        <v>-8.941643845490916</v>
      </c>
      <c r="V242" s="14">
        <f t="shared" si="13"/>
        <v>-0.5696656467701118</v>
      </c>
      <c r="W242" s="14">
        <f t="shared" si="14"/>
        <v>0.15521530779739123</v>
      </c>
      <c r="X242" s="14">
        <f t="shared" si="15"/>
        <v>0.022901180440871194</v>
      </c>
      <c r="Y242" s="14">
        <f t="shared" si="16"/>
        <v>-7.293901620375465E-05</v>
      </c>
      <c r="Z242" s="15">
        <f t="shared" si="17"/>
        <v>-9.333265943038967</v>
      </c>
    </row>
    <row r="243" spans="18:26" ht="12">
      <c r="R243" s="13">
        <v>123.65788487295411</v>
      </c>
      <c r="S243" s="13">
        <f t="shared" si="10"/>
        <v>0.01761826315987869</v>
      </c>
      <c r="T243" s="13">
        <f t="shared" si="11"/>
        <v>0.0003103951676751004</v>
      </c>
      <c r="U243" s="14">
        <f t="shared" si="12"/>
        <v>-8.245846455459017</v>
      </c>
      <c r="V243" s="14">
        <f t="shared" si="13"/>
        <v>-0.5998456598410087</v>
      </c>
      <c r="W243" s="14">
        <f t="shared" si="14"/>
        <v>0.161553827802301</v>
      </c>
      <c r="X243" s="14">
        <f t="shared" si="15"/>
        <v>0.023824771927239752</v>
      </c>
      <c r="Y243" s="14">
        <f t="shared" si="16"/>
        <v>-7.750287535301936E-05</v>
      </c>
      <c r="Z243" s="15">
        <f t="shared" si="17"/>
        <v>-8.660391018445837</v>
      </c>
    </row>
    <row r="244" spans="18:26" ht="12">
      <c r="R244" s="13">
        <v>126.1310425704132</v>
      </c>
      <c r="S244" s="13">
        <f aca="true" t="shared" si="18" ref="S244:S307">2*PI()*R244/44100</f>
        <v>0.01797062842307626</v>
      </c>
      <c r="T244" s="13">
        <f aca="true" t="shared" si="19" ref="T244:T307">4*(SIN(S244/2))^2</f>
        <v>0.0003229347949725748</v>
      </c>
      <c r="U244" s="14">
        <f aca="true" t="shared" si="20" ref="U244:U307">10*LOG10(($G$116+$G$117+$G$118)^2+($G$116*$G$118*T244-($G$117*($G$116+$G$118)+4*$G$116*$G$118))*T244)-10*LOG10((1+$G$119+$G$120)^2+(1*$G$120*T244-($G$119*(1+$G$120)+4*1*$G$120))*T244)</f>
        <v>-7.620316388167055</v>
      </c>
      <c r="V244" s="14">
        <f aca="true" t="shared" si="21" ref="V244:V307">10*LOG10(($G$121+$G$122+$G$123)^2+($G$121*$G$123*$T244-($G$122*($G$121+$G$123)+4*$G$121*$G$123))*$T244)-10*LOG10((1+$G$124+$G$125)^2+(1*$G$125*$T244-($G$124*(1+$G$125)+4*1*$G$125))*$T244)</f>
        <v>-0.6319552428334276</v>
      </c>
      <c r="W244" s="14">
        <f aca="true" t="shared" si="22" ref="W244:W307">10*LOG10(($G$126+$G$127+$G$128)^2+($G$126*$G$128*$T244-($G$127*($G$126+$G$128)+4*$G$126*$G$128))*$T244)-10*LOG10((1+$G$129+$G$130)^2+(1*$G$130*$T244-($G$129*(1+$G$130)+4*1*$G$130))*$T244)</f>
        <v>0.16815401461497004</v>
      </c>
      <c r="X244" s="14">
        <f aca="true" t="shared" si="23" ref="X244:X307">10*LOG10(($G$131+$G$132+$G$133)^2+($G$131*$G$133*$T244-($G$132*($G$131+$G$133)+4*$G$131*$G$133))*$T244)-10*LOG10((1+$G$134+$G$135)^2+(1*$G$135*$T244-($G$134*(1+$G$135)+4*1*$G$135))*$T244)</f>
        <v>0.024785543697963597</v>
      </c>
      <c r="Y244" s="14">
        <f aca="true" t="shared" si="24" ref="Y244:Y307">10*LOG10(($G$136+$G$137+$G$138)^2+($G$136*$G$138*$T244-($G$137*($G$136+$G$138)+4*$G$136*$G$138))*$T244)-10*LOG10((1+$G$139+$G$140)^2+(1*$G$140*$T244-($G$139*(1+$G$140)+4*1*$G$140))*$T244)</f>
        <v>-8.225120699378863E-05</v>
      </c>
      <c r="Z244" s="15">
        <f aca="true" t="shared" si="25" ref="Z244:Z307">U244+V244+W244+X244+Y244</f>
        <v>-8.059414323894543</v>
      </c>
    </row>
    <row r="245" spans="18:26" ht="12">
      <c r="R245" s="13">
        <v>128.65366342182148</v>
      </c>
      <c r="S245" s="13">
        <f t="shared" si="18"/>
        <v>0.018330040991537788</v>
      </c>
      <c r="T245" s="13">
        <f t="shared" si="19"/>
        <v>0.0003359809953942538</v>
      </c>
      <c r="U245" s="14">
        <f t="shared" si="20"/>
        <v>-7.055772618781063</v>
      </c>
      <c r="V245" s="14">
        <f t="shared" si="21"/>
        <v>-0.6661481989573659</v>
      </c>
      <c r="W245" s="14">
        <f t="shared" si="22"/>
        <v>0.17502690040657143</v>
      </c>
      <c r="X245" s="14">
        <f t="shared" si="23"/>
        <v>0.02578498694080711</v>
      </c>
      <c r="Y245" s="14">
        <f t="shared" si="24"/>
        <v>-8.719147144864436E-05</v>
      </c>
      <c r="Z245" s="15">
        <f t="shared" si="25"/>
        <v>-7.5211961218624985</v>
      </c>
    </row>
    <row r="246" spans="18:26" ht="12">
      <c r="R246" s="13">
        <v>131.22673669025792</v>
      </c>
      <c r="S246" s="13">
        <f t="shared" si="18"/>
        <v>0.01869664181136855</v>
      </c>
      <c r="T246" s="13">
        <f t="shared" si="19"/>
        <v>0.0003495542322012462</v>
      </c>
      <c r="U246" s="14">
        <f t="shared" si="20"/>
        <v>-6.544509213514473</v>
      </c>
      <c r="V246" s="14">
        <f t="shared" si="21"/>
        <v>-0.7025933925328545</v>
      </c>
      <c r="W246" s="14">
        <f t="shared" si="22"/>
        <v>0.1821840010332707</v>
      </c>
      <c r="X246" s="14">
        <f t="shared" si="23"/>
        <v>0.026824652195911014</v>
      </c>
      <c r="Y246" s="14">
        <f t="shared" si="24"/>
        <v>-9.233143106746056E-05</v>
      </c>
      <c r="Z246" s="15">
        <f t="shared" si="25"/>
        <v>-7.038186284249214</v>
      </c>
    </row>
    <row r="247" spans="18:26" ht="12">
      <c r="R247" s="13">
        <v>133.85127142406307</v>
      </c>
      <c r="S247" s="13">
        <f t="shared" si="18"/>
        <v>0.019070574647595914</v>
      </c>
      <c r="T247" s="13">
        <f t="shared" si="19"/>
        <v>0.0003636757951813879</v>
      </c>
      <c r="U247" s="14">
        <f t="shared" si="20"/>
        <v>-6.080076239144276</v>
      </c>
      <c r="V247" s="14">
        <f t="shared" si="21"/>
        <v>-0.7414764925699657</v>
      </c>
      <c r="W247" s="14">
        <f t="shared" si="22"/>
        <v>0.18963733870813115</v>
      </c>
      <c r="X247" s="14">
        <f t="shared" si="23"/>
        <v>0.027906151680968883</v>
      </c>
      <c r="Y247" s="14">
        <f t="shared" si="24"/>
        <v>-9.767916248026864E-05</v>
      </c>
      <c r="Z247" s="15">
        <f t="shared" si="25"/>
        <v>-6.604106920487622</v>
      </c>
    </row>
    <row r="248" spans="18:26" ht="12">
      <c r="R248" s="13">
        <v>136.52829685254434</v>
      </c>
      <c r="S248" s="13">
        <f t="shared" si="18"/>
        <v>0.019451986140547835</v>
      </c>
      <c r="T248" s="13">
        <f t="shared" si="19"/>
        <v>0.0003783678340253433</v>
      </c>
      <c r="U248" s="14">
        <f t="shared" si="20"/>
        <v>-5.657028566843181</v>
      </c>
      <c r="V248" s="14">
        <f t="shared" si="21"/>
        <v>-0.7830019466324316</v>
      </c>
      <c r="W248" s="14">
        <f t="shared" si="22"/>
        <v>0.19739946584680723</v>
      </c>
      <c r="X248" s="14">
        <f t="shared" si="23"/>
        <v>0.029031161704422992</v>
      </c>
      <c r="Y248" s="14">
        <f t="shared" si="24"/>
        <v>-0.00010324306935105554</v>
      </c>
      <c r="Z248" s="15">
        <f t="shared" si="25"/>
        <v>-6.213703128993734</v>
      </c>
    </row>
    <row r="249" spans="18:26" ht="12">
      <c r="R249" s="13">
        <v>139.25886278959524</v>
      </c>
      <c r="S249" s="13">
        <f t="shared" si="18"/>
        <v>0.019841025863358796</v>
      </c>
      <c r="T249" s="13">
        <f t="shared" si="19"/>
        <v>0.00039365339304981133</v>
      </c>
      <c r="U249" s="14">
        <f t="shared" si="20"/>
        <v>-5.270730709452664</v>
      </c>
      <c r="V249" s="14">
        <f t="shared" si="21"/>
        <v>-0.8273952187529332</v>
      </c>
      <c r="W249" s="14">
        <f t="shared" si="22"/>
        <v>0.20548349015605538</v>
      </c>
      <c r="X249" s="14">
        <f t="shared" si="23"/>
        <v>0.030201425169817497</v>
      </c>
      <c r="Y249" s="14">
        <f t="shared" si="24"/>
        <v>-0.00010903189564892557</v>
      </c>
      <c r="Z249" s="15">
        <f t="shared" si="25"/>
        <v>-5.862550044775373</v>
      </c>
    </row>
    <row r="250" spans="18:26" ht="12">
      <c r="R250" s="13">
        <v>142.04404004538713</v>
      </c>
      <c r="S250" s="13">
        <f t="shared" si="18"/>
        <v>0.02023784638062597</v>
      </c>
      <c r="T250" s="13">
        <f t="shared" si="19"/>
        <v>0.0004095564473221639</v>
      </c>
      <c r="U250" s="14">
        <f t="shared" si="20"/>
        <v>-4.917205448485518</v>
      </c>
      <c r="V250" s="14">
        <f t="shared" si="21"/>
        <v>-0.8749053305449692</v>
      </c>
      <c r="W250" s="14">
        <f t="shared" si="22"/>
        <v>0.21390310103812027</v>
      </c>
      <c r="X250" s="14">
        <f t="shared" si="23"/>
        <v>0.031418754174443286</v>
      </c>
      <c r="Y250" s="14">
        <f t="shared" si="24"/>
        <v>-0.00011505473946460398</v>
      </c>
      <c r="Z250" s="15">
        <f t="shared" si="25"/>
        <v>-5.546903978557388</v>
      </c>
    </row>
    <row r="251" spans="18:26" ht="12">
      <c r="R251" s="13">
        <v>144.88492084629488</v>
      </c>
      <c r="S251" s="13">
        <f t="shared" si="18"/>
        <v>0.020642603308238486</v>
      </c>
      <c r="T251" s="13">
        <f t="shared" si="19"/>
        <v>0.00042610194024301313</v>
      </c>
      <c r="U251" s="14">
        <f t="shared" si="20"/>
        <v>-4.593015937514437</v>
      </c>
      <c r="V251" s="14">
        <f t="shared" si="21"/>
        <v>-0.9258077509427949</v>
      </c>
      <c r="W251" s="14">
        <f t="shared" si="22"/>
        <v>0.2226725973891419</v>
      </c>
      <c r="X251" s="14">
        <f t="shared" si="23"/>
        <v>0.032685032705543904</v>
      </c>
      <c r="Y251" s="14">
        <f t="shared" si="24"/>
        <v>-0.00012132106739137782</v>
      </c>
      <c r="Z251" s="15">
        <f t="shared" si="25"/>
        <v>-5.2635873794299375</v>
      </c>
    </row>
    <row r="252" spans="18:26" ht="12">
      <c r="R252" s="13">
        <v>147.78261926322077</v>
      </c>
      <c r="S252" s="13">
        <f t="shared" si="18"/>
        <v>0.021055455374403256</v>
      </c>
      <c r="T252" s="13">
        <f t="shared" si="19"/>
        <v>0.0004433158226454854</v>
      </c>
      <c r="U252" s="14">
        <f t="shared" si="20"/>
        <v>-4.2951732095768875</v>
      </c>
      <c r="V252" s="14">
        <f t="shared" si="21"/>
        <v>-0.9804076873599925</v>
      </c>
      <c r="W252" s="14">
        <f t="shared" si="22"/>
        <v>0.23180691687474564</v>
      </c>
      <c r="X252" s="14">
        <f t="shared" si="23"/>
        <v>0.034002219437458514</v>
      </c>
      <c r="Y252" s="14">
        <f t="shared" si="24"/>
        <v>-0.00012784072947757963</v>
      </c>
      <c r="Z252" s="15">
        <f t="shared" si="25"/>
        <v>-5.009899601354153</v>
      </c>
    </row>
    <row r="253" spans="18:26" ht="12">
      <c r="R253" s="13">
        <v>150.73827164848518</v>
      </c>
      <c r="S253" s="13">
        <f t="shared" si="18"/>
        <v>0.021476564481891322</v>
      </c>
      <c r="T253" s="13">
        <f t="shared" si="19"/>
        <v>0.00046122509347234255</v>
      </c>
      <c r="U253" s="14">
        <f t="shared" si="20"/>
        <v>-4.021062964631071</v>
      </c>
      <c r="V253" s="14">
        <f t="shared" si="21"/>
        <v>-1.039043839680744</v>
      </c>
      <c r="W253" s="14">
        <f t="shared" si="22"/>
        <v>0.24132166677201639</v>
      </c>
      <c r="X253" s="14">
        <f t="shared" si="23"/>
        <v>0.03537235063307698</v>
      </c>
      <c r="Y253" s="14">
        <f t="shared" si="24"/>
        <v>-0.00013462397481900368</v>
      </c>
      <c r="Z253" s="15">
        <f t="shared" si="25"/>
        <v>-4.783547410881541</v>
      </c>
    </row>
    <row r="254" spans="18:26" ht="12">
      <c r="R254" s="13">
        <v>153.7530370814549</v>
      </c>
      <c r="S254" s="13">
        <f t="shared" si="18"/>
        <v>0.021906095771529147</v>
      </c>
      <c r="T254" s="13">
        <f t="shared" si="19"/>
        <v>0.00047985784209455233</v>
      </c>
      <c r="U254" s="14">
        <f t="shared" si="20"/>
        <v>-3.7683870514617723</v>
      </c>
      <c r="V254" s="14">
        <f t="shared" si="21"/>
        <v>-1.10209268860946</v>
      </c>
      <c r="W254" s="14">
        <f t="shared" si="22"/>
        <v>0.2512331564722956</v>
      </c>
      <c r="X254" s="14">
        <f t="shared" si="23"/>
        <v>0.03679754315320238</v>
      </c>
      <c r="Y254" s="14">
        <f t="shared" si="24"/>
        <v>-0.00014168146775528356</v>
      </c>
      <c r="Z254" s="15">
        <f t="shared" si="25"/>
        <v>-4.58259072191349</v>
      </c>
    </row>
    <row r="255" spans="18:26" ht="12">
      <c r="R255" s="13">
        <v>156.828097823084</v>
      </c>
      <c r="S255" s="13">
        <f t="shared" si="18"/>
        <v>0.02234421768695973</v>
      </c>
      <c r="T255" s="13">
        <f t="shared" si="19"/>
        <v>0.000499243292337462</v>
      </c>
      <c r="U255" s="14">
        <f t="shared" si="20"/>
        <v>-3.5351162239492595</v>
      </c>
      <c r="V255" s="14">
        <f t="shared" si="21"/>
        <v>-1.1699734017783996</v>
      </c>
      <c r="W255" s="14">
        <f t="shared" si="22"/>
        <v>0.26155843174650784</v>
      </c>
      <c r="X255" s="14">
        <f t="shared" si="23"/>
        <v>0.03827999757738887</v>
      </c>
      <c r="Y255" s="14">
        <f t="shared" si="24"/>
        <v>-0.0001490243047563844</v>
      </c>
      <c r="Z255" s="15">
        <f t="shared" si="25"/>
        <v>-4.405400220708518</v>
      </c>
    </row>
    <row r="256" spans="18:26" ht="12">
      <c r="R256" s="13">
        <v>159.96465977954568</v>
      </c>
      <c r="S256" s="13">
        <f t="shared" si="18"/>
        <v>0.022791102040698927</v>
      </c>
      <c r="T256" s="13">
        <f t="shared" si="19"/>
        <v>0.0005194118482833935</v>
      </c>
      <c r="U256" s="14">
        <f t="shared" si="20"/>
        <v>-3.3194516183028924</v>
      </c>
      <c r="V256" s="14">
        <f t="shared" si="21"/>
        <v>-1.2431534549643288</v>
      </c>
      <c r="W256" s="14">
        <f t="shared" si="22"/>
        <v>0.27231531088100525</v>
      </c>
      <c r="X256" s="14">
        <f t="shared" si="23"/>
        <v>0.039822001439955734</v>
      </c>
      <c r="Y256" s="14">
        <f t="shared" si="24"/>
        <v>-0.00015666403197478473</v>
      </c>
      <c r="Z256" s="15">
        <f t="shared" si="25"/>
        <v>-4.250624424978235</v>
      </c>
    </row>
    <row r="257" spans="18:26" ht="12">
      <c r="R257" s="13">
        <v>163.1639529751366</v>
      </c>
      <c r="S257" s="13">
        <f t="shared" si="18"/>
        <v>0.023246924081512906</v>
      </c>
      <c r="T257" s="13">
        <f t="shared" si="19"/>
        <v>0.0005403951419222444</v>
      </c>
      <c r="U257" s="14">
        <f t="shared" si="20"/>
        <v>-3.1197930373800062</v>
      </c>
      <c r="V257" s="14">
        <f t="shared" si="21"/>
        <v>-1.3221550821834924</v>
      </c>
      <c r="W257" s="14">
        <f t="shared" si="22"/>
        <v>0.28352242279979123</v>
      </c>
      <c r="X257" s="14">
        <f t="shared" si="23"/>
        <v>0.04142593258501481</v>
      </c>
      <c r="Y257" s="14">
        <f t="shared" si="24"/>
        <v>-0.00016461266353839932</v>
      </c>
      <c r="Z257" s="15">
        <f t="shared" si="25"/>
        <v>-4.117164376842231</v>
      </c>
    </row>
    <row r="258" spans="18:26" ht="12">
      <c r="R258" s="13">
        <v>166.42723203463933</v>
      </c>
      <c r="S258" s="13">
        <f t="shared" si="18"/>
        <v>0.023711862563143164</v>
      </c>
      <c r="T258" s="13">
        <f t="shared" si="19"/>
        <v>0.0005622260827245524</v>
      </c>
      <c r="U258" s="14">
        <f t="shared" si="20"/>
        <v>-2.934712599220134</v>
      </c>
      <c r="V258" s="14">
        <f t="shared" si="21"/>
        <v>-1.4075626877743588</v>
      </c>
      <c r="W258" s="14">
        <f t="shared" si="22"/>
        <v>0.29519924729653724</v>
      </c>
      <c r="X258" s="14">
        <f t="shared" si="23"/>
        <v>0.04309426264431426</v>
      </c>
      <c r="Y258" s="14">
        <f t="shared" si="24"/>
        <v>-0.00017288270057447264</v>
      </c>
      <c r="Z258" s="15">
        <f t="shared" si="25"/>
        <v>-4.0041546597542155</v>
      </c>
    </row>
    <row r="259" spans="18:26" ht="12">
      <c r="R259" s="13">
        <v>169.75577667533213</v>
      </c>
      <c r="S259" s="13">
        <f t="shared" si="18"/>
        <v>0.02418609981440603</v>
      </c>
      <c r="T259" s="13">
        <f t="shared" si="19"/>
        <v>0.0005849389092144772</v>
      </c>
      <c r="U259" s="14">
        <f t="shared" si="20"/>
        <v>-2.7629326543522694</v>
      </c>
      <c r="V259" s="14">
        <f t="shared" si="21"/>
        <v>-1.5000313763992068</v>
      </c>
      <c r="W259" s="14">
        <f t="shared" si="22"/>
        <v>0.30736615750889484</v>
      </c>
      <c r="X259" s="14">
        <f t="shared" si="23"/>
        <v>0.04482956064190802</v>
      </c>
      <c r="Y259" s="14">
        <f t="shared" si="24"/>
        <v>-0.00018148715101817814</v>
      </c>
      <c r="Z259" s="15">
        <f t="shared" si="25"/>
        <v>-3.9109497997516915</v>
      </c>
    </row>
    <row r="260" spans="18:26" ht="12">
      <c r="R260" s="13">
        <v>173.15089220883877</v>
      </c>
      <c r="S260" s="13">
        <f t="shared" si="18"/>
        <v>0.02466982181069415</v>
      </c>
      <c r="T260" s="13">
        <f t="shared" si="19"/>
        <v>0.0006085692426232603</v>
      </c>
      <c r="U260" s="14">
        <f t="shared" si="20"/>
        <v>-2.6033071336176192</v>
      </c>
      <c r="V260" s="14">
        <f t="shared" si="21"/>
        <v>-1.6002967838685151</v>
      </c>
      <c r="W260" s="14">
        <f t="shared" si="22"/>
        <v>0.32004446477633763</v>
      </c>
      <c r="X260" s="14">
        <f t="shared" si="23"/>
        <v>0.046634496729680563</v>
      </c>
      <c r="Y260" s="14">
        <f t="shared" si="24"/>
        <v>-0.00019043955024011794</v>
      </c>
      <c r="Z260" s="15">
        <f t="shared" si="25"/>
        <v>-3.8371153955303563</v>
      </c>
    </row>
    <row r="261" spans="18:26" ht="12">
      <c r="R261" s="13">
        <v>176.61391005301556</v>
      </c>
      <c r="S261" s="13">
        <f t="shared" si="18"/>
        <v>0.025163218246908037</v>
      </c>
      <c r="T261" s="13">
        <f t="shared" si="19"/>
        <v>0.0006331541427069643</v>
      </c>
      <c r="U261" s="14">
        <f t="shared" si="20"/>
        <v>-2.4548056795725017</v>
      </c>
      <c r="V261" s="14">
        <f t="shared" si="21"/>
        <v>-1.7091864236401477</v>
      </c>
      <c r="W261" s="14">
        <f t="shared" si="22"/>
        <v>0.3332564660330206</v>
      </c>
      <c r="X261" s="14">
        <f t="shared" si="23"/>
        <v>0.04851184605783754</v>
      </c>
      <c r="Y261" s="14">
        <f t="shared" si="24"/>
        <v>-0.00019975398250471343</v>
      </c>
      <c r="Z261" s="15">
        <f t="shared" si="25"/>
        <v>-3.782423545104296</v>
      </c>
    </row>
    <row r="262" spans="18:26" ht="12">
      <c r="R262" s="13">
        <v>180.14618825407587</v>
      </c>
      <c r="S262" s="13">
        <f t="shared" si="18"/>
        <v>0.025666482611846193</v>
      </c>
      <c r="T262" s="13">
        <f t="shared" si="19"/>
        <v>0.0006587321658156504</v>
      </c>
      <c r="U262" s="14">
        <f t="shared" si="20"/>
        <v>-2.3165000577038057</v>
      </c>
      <c r="V262" s="14">
        <f t="shared" si="21"/>
        <v>-1.827632801775728</v>
      </c>
      <c r="W262" s="14">
        <f t="shared" si="22"/>
        <v>0.3470254938976609</v>
      </c>
      <c r="X262" s="14">
        <f t="shared" si="23"/>
        <v>0.05046449278455789</v>
      </c>
      <c r="Y262" s="14">
        <f t="shared" si="24"/>
        <v>-0.00020944510332032706</v>
      </c>
      <c r="Z262" s="15">
        <f t="shared" si="25"/>
        <v>-3.746852317900635</v>
      </c>
    </row>
    <row r="263" spans="18:26" ht="12">
      <c r="R263" s="13">
        <v>183.7491120191574</v>
      </c>
      <c r="S263" s="13">
        <f t="shared" si="18"/>
        <v>0.02617981226408312</v>
      </c>
      <c r="T263" s="13">
        <f t="shared" si="19"/>
        <v>0.0006853434253046611</v>
      </c>
      <c r="U263" s="14">
        <f t="shared" si="20"/>
        <v>-2.187552451534472</v>
      </c>
      <c r="V263" s="14">
        <f t="shared" si="21"/>
        <v>-1.9566885982894604</v>
      </c>
      <c r="W263" s="14">
        <f t="shared" si="22"/>
        <v>0.36137596963396135</v>
      </c>
      <c r="X263" s="14">
        <f t="shared" si="23"/>
        <v>0.052495434229097526</v>
      </c>
      <c r="Y263" s="14">
        <f t="shared" si="24"/>
        <v>-0.00021952816270243147</v>
      </c>
      <c r="Z263" s="15">
        <f t="shared" si="25"/>
        <v>-3.730589174123576</v>
      </c>
    </row>
    <row r="264" spans="18:26" ht="12">
      <c r="R264" s="13">
        <v>187.42409425954054</v>
      </c>
      <c r="S264" s="13">
        <f t="shared" si="18"/>
        <v>0.02670340850936478</v>
      </c>
      <c r="T264" s="13">
        <f t="shared" si="19"/>
        <v>0.0007130296543823033</v>
      </c>
      <c r="U264" s="14">
        <f t="shared" si="20"/>
        <v>-2.0672053275227427</v>
      </c>
      <c r="V264" s="14">
        <f t="shared" si="21"/>
        <v>-2.0975442667274606</v>
      </c>
      <c r="W264" s="14">
        <f t="shared" si="22"/>
        <v>0.37633345916754735</v>
      </c>
      <c r="X264" s="14">
        <f t="shared" si="23"/>
        <v>0.0546077851726503</v>
      </c>
      <c r="Y264" s="14">
        <f t="shared" si="24"/>
        <v>-0.00023001902939023822</v>
      </c>
      <c r="Z264" s="15">
        <f t="shared" si="25"/>
        <v>-3.734038368939396</v>
      </c>
    </row>
    <row r="265" spans="18:26" ht="12">
      <c r="R265" s="13">
        <v>191.17257614473135</v>
      </c>
      <c r="S265" s="13">
        <f t="shared" si="18"/>
        <v>0.02723747667955208</v>
      </c>
      <c r="T265" s="13">
        <f t="shared" si="19"/>
        <v>0.0007418342714920192</v>
      </c>
      <c r="U265" s="14">
        <f t="shared" si="20"/>
        <v>-1.9547726182267482</v>
      </c>
      <c r="V265" s="14">
        <f t="shared" si="21"/>
        <v>-2.251548468325872</v>
      </c>
      <c r="W265" s="14">
        <f t="shared" si="22"/>
        <v>0.39192473235841163</v>
      </c>
      <c r="X265" s="14">
        <f t="shared" si="23"/>
        <v>0.05680478231140906</v>
      </c>
      <c r="Y265" s="14">
        <f t="shared" si="24"/>
        <v>-0.00024093421605986265</v>
      </c>
      <c r="Z265" s="15">
        <f t="shared" si="25"/>
        <v>-3.7578325060988593</v>
      </c>
    </row>
    <row r="266" spans="18:26" ht="12">
      <c r="R266" s="13">
        <v>194.99602766762598</v>
      </c>
      <c r="S266" s="13">
        <f t="shared" si="18"/>
        <v>0.027782226213143118</v>
      </c>
      <c r="T266" s="13">
        <f t="shared" si="19"/>
        <v>0.0007718024483310572</v>
      </c>
      <c r="U266" s="14">
        <f t="shared" si="20"/>
        <v>-1.8496320204396284</v>
      </c>
      <c r="V266" s="14">
        <f t="shared" si="21"/>
        <v>-2.4202318344173293</v>
      </c>
      <c r="W266" s="14">
        <f t="shared" si="22"/>
        <v>0.40817782574256967</v>
      </c>
      <c r="X266" s="14">
        <f t="shared" si="23"/>
        <v>0.059089788866250714</v>
      </c>
      <c r="Y266" s="14">
        <f t="shared" si="24"/>
        <v>-0.00025229090557399303</v>
      </c>
      <c r="Z266" s="15">
        <f t="shared" si="25"/>
        <v>-3.8028485311537112</v>
      </c>
    </row>
    <row r="267" spans="18:26" ht="12">
      <c r="R267" s="13">
        <v>198.8959482209785</v>
      </c>
      <c r="S267" s="13">
        <f t="shared" si="18"/>
        <v>0.028337870737405988</v>
      </c>
      <c r="T267" s="13">
        <f t="shared" si="19"/>
        <v>0.0008029811806117619</v>
      </c>
      <c r="U267" s="14">
        <f t="shared" si="20"/>
        <v>-1.7512182425029863</v>
      </c>
      <c r="V267" s="14">
        <f t="shared" si="21"/>
        <v>-2.60533464334209</v>
      </c>
      <c r="W267" s="14">
        <f t="shared" si="22"/>
        <v>0.4251221089717774</v>
      </c>
      <c r="X267" s="14">
        <f t="shared" si="23"/>
        <v>0.0614662993535795</v>
      </c>
      <c r="Y267" s="14">
        <f t="shared" si="24"/>
        <v>-0.00026410697831380503</v>
      </c>
      <c r="Z267" s="15">
        <f t="shared" si="25"/>
        <v>-3.870228584498033</v>
      </c>
    </row>
    <row r="268" spans="18:26" ht="12">
      <c r="R268" s="13">
        <v>202.8738671853981</v>
      </c>
      <c r="S268" s="13">
        <f t="shared" si="18"/>
        <v>0.028904628152154103</v>
      </c>
      <c r="T268" s="13">
        <f t="shared" si="19"/>
        <v>0.0008354193616758245</v>
      </c>
      <c r="U268" s="14">
        <f t="shared" si="20"/>
        <v>-1.659017064420297</v>
      </c>
      <c r="V268" s="14">
        <f t="shared" si="21"/>
        <v>-2.8088391083132223</v>
      </c>
      <c r="W268" s="14">
        <f t="shared" si="22"/>
        <v>0.44278835519684634</v>
      </c>
      <c r="X268" s="14">
        <f t="shared" si="23"/>
        <v>0.06393794452190082</v>
      </c>
      <c r="Y268" s="14">
        <f t="shared" si="24"/>
        <v>-0.0002764010406313133</v>
      </c>
      <c r="Z268" s="15">
        <f t="shared" si="25"/>
        <v>-3.9614062740554035</v>
      </c>
    </row>
    <row r="269" spans="18:26" ht="12">
      <c r="R269" s="13">
        <v>206.93134452910607</v>
      </c>
      <c r="S269" s="13">
        <f t="shared" si="18"/>
        <v>0.029482720715197194</v>
      </c>
      <c r="T269" s="13">
        <f t="shared" si="19"/>
        <v>0.0008691678590763023</v>
      </c>
      <c r="U269" s="14">
        <f t="shared" si="20"/>
        <v>-1.5725600976711647</v>
      </c>
      <c r="V269" s="14">
        <f t="shared" si="21"/>
        <v>-3.0330071017295737</v>
      </c>
      <c r="W269" s="14">
        <f t="shared" si="22"/>
        <v>0.4612088156582459</v>
      </c>
      <c r="X269" s="14">
        <f t="shared" si="23"/>
        <v>0.06650849645867929</v>
      </c>
      <c r="Y269" s="14">
        <f t="shared" si="24"/>
        <v>-0.0002891924544723423</v>
      </c>
      <c r="Z269" s="15">
        <f t="shared" si="25"/>
        <v>-4.0781390797382855</v>
      </c>
    </row>
    <row r="270" spans="18:26" ht="12">
      <c r="R270" s="13">
        <v>211.0699714196882</v>
      </c>
      <c r="S270" s="13">
        <f t="shared" si="18"/>
        <v>0.03007237512950113</v>
      </c>
      <c r="T270" s="13">
        <f t="shared" si="19"/>
        <v>0.0009042795942467637</v>
      </c>
      <c r="U270" s="14">
        <f t="shared" si="20"/>
        <v>-1.491420150213834</v>
      </c>
      <c r="V270" s="14">
        <f t="shared" si="21"/>
        <v>-3.2804242870835267</v>
      </c>
      <c r="W270" s="14">
        <f t="shared" si="22"/>
        <v>0.48041729876649697</v>
      </c>
      <c r="X270" s="14">
        <f t="shared" si="23"/>
        <v>0.06918187387216079</v>
      </c>
      <c r="Y270" s="14">
        <f t="shared" si="24"/>
        <v>-0.0003025013682340649</v>
      </c>
      <c r="Z270" s="15">
        <f t="shared" si="25"/>
        <v>-4.222547766026937</v>
      </c>
    </row>
    <row r="271" spans="18:26" ht="12">
      <c r="R271" s="13">
        <v>215.29137084808195</v>
      </c>
      <c r="S271" s="13">
        <f t="shared" si="18"/>
        <v>0.030673822632091157</v>
      </c>
      <c r="T271" s="13">
        <f t="shared" si="19"/>
        <v>0.0009408096253817429</v>
      </c>
      <c r="U271" s="14">
        <f t="shared" si="20"/>
        <v>-1.4152071171378964</v>
      </c>
      <c r="V271" s="14">
        <f t="shared" si="21"/>
        <v>-3.554051780741787</v>
      </c>
      <c r="W271" s="14">
        <f t="shared" si="22"/>
        <v>0.5004492539763987</v>
      </c>
      <c r="X271" s="14">
        <f t="shared" si="23"/>
        <v>0.07196214755276031</v>
      </c>
      <c r="Y271" s="14">
        <f t="shared" si="24"/>
        <v>-0.0003163487488770933</v>
      </c>
      <c r="Z271" s="15">
        <f t="shared" si="25"/>
        <v>-4.397163845099401</v>
      </c>
    </row>
    <row r="272" spans="18:26" ht="12">
      <c r="R272" s="13">
        <v>219.5971982650436</v>
      </c>
      <c r="S272" s="13">
        <f t="shared" si="18"/>
        <v>0.03128729908473298</v>
      </c>
      <c r="T272" s="13">
        <f t="shared" si="19"/>
        <v>0.0009788152336576172</v>
      </c>
      <c r="U272" s="14">
        <f t="shared" si="20"/>
        <v>-1.3435643295971076</v>
      </c>
      <c r="V272" s="14">
        <f t="shared" si="21"/>
        <v>-3.857286590488549</v>
      </c>
      <c r="W272" s="14">
        <f t="shared" si="22"/>
        <v>0.5213418607809999</v>
      </c>
      <c r="X272" s="14">
        <f t="shared" si="23"/>
        <v>0.07485354601869254</v>
      </c>
      <c r="Y272" s="14">
        <f t="shared" si="24"/>
        <v>-0.0003307564153791631</v>
      </c>
      <c r="Z272" s="15">
        <f t="shared" si="25"/>
        <v>-4.604986269701343</v>
      </c>
    </row>
    <row r="273" spans="18:26" ht="12">
      <c r="R273" s="13">
        <v>223.98914223034447</v>
      </c>
      <c r="S273" s="13">
        <f t="shared" si="18"/>
        <v>0.03191304506642764</v>
      </c>
      <c r="T273" s="13">
        <f t="shared" si="19"/>
        <v>0.0010183560129282201</v>
      </c>
      <c r="U273" s="14">
        <f t="shared" si="20"/>
        <v>-1.2761653046230137</v>
      </c>
      <c r="V273" s="14">
        <f t="shared" si="21"/>
        <v>-4.194032096882729</v>
      </c>
      <c r="W273" s="14">
        <f t="shared" si="22"/>
        <v>0.5431341231759745</v>
      </c>
      <c r="X273" s="14">
        <f t="shared" si="23"/>
        <v>0.07786046135048696</v>
      </c>
      <c r="Y273" s="14">
        <f t="shared" si="24"/>
        <v>-0.00034574707356327394</v>
      </c>
      <c r="Z273" s="15">
        <f t="shared" si="25"/>
        <v>-4.849548564052845</v>
      </c>
    </row>
    <row r="274" spans="18:26" ht="12">
      <c r="R274" s="13">
        <v>228.46892507495136</v>
      </c>
      <c r="S274" s="13">
        <f t="shared" si="18"/>
        <v>0.03255130596775619</v>
      </c>
      <c r="T274" s="13">
        <f t="shared" si="19"/>
        <v>0.0010594939630348527</v>
      </c>
      <c r="U274" s="14">
        <f t="shared" si="20"/>
        <v>-1.2127108466551846</v>
      </c>
      <c r="V274" s="14">
        <f t="shared" si="21"/>
        <v>-4.568779574710625</v>
      </c>
      <c r="W274" s="14">
        <f t="shared" si="22"/>
        <v>0.5658669699710259</v>
      </c>
      <c r="X274" s="14">
        <f t="shared" si="23"/>
        <v>0.08098745521900774</v>
      </c>
      <c r="Y274" s="14">
        <f t="shared" si="24"/>
        <v>-0.00036134435236867546</v>
      </c>
      <c r="Z274" s="15">
        <f t="shared" si="25"/>
        <v>-5.134997340528145</v>
      </c>
    </row>
    <row r="275" spans="18:26" ht="12">
      <c r="R275" s="13">
        <v>233.0383035764504</v>
      </c>
      <c r="S275" s="13">
        <f t="shared" si="18"/>
        <v>0.03320233208711132</v>
      </c>
      <c r="T275" s="13">
        <f t="shared" si="19"/>
        <v>0.001102293586875956</v>
      </c>
      <c r="U275" s="14">
        <f t="shared" si="20"/>
        <v>-1.1529264584772534</v>
      </c>
      <c r="V275" s="14">
        <f t="shared" si="21"/>
        <v>-4.9867007856292105</v>
      </c>
      <c r="W275" s="14">
        <f t="shared" si="22"/>
        <v>0.5895833613533341</v>
      </c>
      <c r="X275" s="14">
        <f t="shared" si="23"/>
        <v>0.08423926511159774</v>
      </c>
      <c r="Y275" s="14">
        <f t="shared" si="24"/>
        <v>-0.00037757284162509563</v>
      </c>
      <c r="Z275" s="15">
        <f t="shared" si="25"/>
        <v>-5.466182190483157</v>
      </c>
    </row>
    <row r="276" spans="18:26" ht="12">
      <c r="R276" s="13">
        <v>237.69906964797943</v>
      </c>
      <c r="S276" s="13">
        <f t="shared" si="18"/>
        <v>0.03386637872885355</v>
      </c>
      <c r="T276" s="13">
        <f t="shared" si="19"/>
        <v>0.0011468219913874933</v>
      </c>
      <c r="U276" s="14">
        <f t="shared" si="20"/>
        <v>-1.096560024990012</v>
      </c>
      <c r="V276" s="14">
        <f t="shared" si="21"/>
        <v>-5.453749101346219</v>
      </c>
      <c r="W276" s="14">
        <f t="shared" si="22"/>
        <v>0.6143284021390159</v>
      </c>
      <c r="X276" s="14">
        <f t="shared" si="23"/>
        <v>0.08762081076086492</v>
      </c>
      <c r="Y276" s="14">
        <f t="shared" si="24"/>
        <v>-0.00039445813138971886</v>
      </c>
      <c r="Z276" s="15">
        <f t="shared" si="25"/>
        <v>-5.84875437156774</v>
      </c>
    </row>
    <row r="277" spans="18:26" ht="12">
      <c r="R277" s="13">
        <v>242.45305104093902</v>
      </c>
      <c r="S277" s="13">
        <f t="shared" si="18"/>
        <v>0.03454370630343062</v>
      </c>
      <c r="T277" s="13">
        <f t="shared" si="19"/>
        <v>0.0011931489925911505</v>
      </c>
      <c r="U277" s="14">
        <f t="shared" si="20"/>
        <v>-1.0433797380958012</v>
      </c>
      <c r="V277" s="14">
        <f t="shared" si="21"/>
        <v>-5.9767604267795775</v>
      </c>
      <c r="W277" s="14">
        <f t="shared" si="22"/>
        <v>0.6401494621810642</v>
      </c>
      <c r="X277" s="14">
        <f t="shared" si="23"/>
        <v>0.09113720078063547</v>
      </c>
      <c r="Y277" s="14">
        <f t="shared" si="24"/>
        <v>-0.0004120268529193005</v>
      </c>
      <c r="Z277" s="15">
        <f t="shared" si="25"/>
        <v>-6.289265528766599</v>
      </c>
    </row>
    <row r="278" spans="18:26" ht="12">
      <c r="R278" s="13">
        <v>247.3021120617578</v>
      </c>
      <c r="S278" s="13">
        <f t="shared" si="18"/>
        <v>0.035234580429499236</v>
      </c>
      <c r="T278" s="13">
        <f t="shared" si="19"/>
        <v>0.001241347224873715</v>
      </c>
      <c r="U278" s="14">
        <f t="shared" si="20"/>
        <v>-0.9931722350762442</v>
      </c>
      <c r="V278" s="14">
        <f t="shared" si="21"/>
        <v>-6.56353089630133</v>
      </c>
      <c r="W278" s="14">
        <f t="shared" si="22"/>
        <v>0.6670963044389779</v>
      </c>
      <c r="X278" s="14">
        <f t="shared" si="23"/>
        <v>0.09479373951343018</v>
      </c>
      <c r="Y278" s="14">
        <f t="shared" si="24"/>
        <v>-0.0004303067213480283</v>
      </c>
      <c r="Z278" s="15">
        <f t="shared" si="25"/>
        <v>-6.795243394146514</v>
      </c>
    </row>
    <row r="279" spans="18:26" ht="12">
      <c r="R279" s="13">
        <v>252.24815430299296</v>
      </c>
      <c r="S279" s="13">
        <f t="shared" si="18"/>
        <v>0.03593927203808922</v>
      </c>
      <c r="T279" s="13">
        <f t="shared" si="19"/>
        <v>0.001291492254667519</v>
      </c>
      <c r="U279" s="14">
        <f t="shared" si="20"/>
        <v>-0.9457409263484706</v>
      </c>
      <c r="V279" s="14">
        <f t="shared" si="21"/>
        <v>-7.222815803316912</v>
      </c>
      <c r="W279" s="14">
        <f t="shared" si="22"/>
        <v>0.6952212212532061</v>
      </c>
      <c r="X279" s="14">
        <f t="shared" si="23"/>
        <v>0.09859593409377432</v>
      </c>
      <c r="Y279" s="14">
        <f t="shared" si="24"/>
        <v>-0.00044932658012353244</v>
      </c>
      <c r="Z279" s="15">
        <f t="shared" si="25"/>
        <v>-7.375188900898526</v>
      </c>
    </row>
    <row r="280" spans="18:26" ht="12">
      <c r="R280" s="13">
        <v>257.29311738905284</v>
      </c>
      <c r="S280" s="13">
        <f t="shared" si="18"/>
        <v>0.036658057478851</v>
      </c>
      <c r="T280" s="13">
        <f t="shared" si="19"/>
        <v>0.0013436626987086168</v>
      </c>
      <c r="U280" s="14">
        <f t="shared" si="20"/>
        <v>-0.9009044914863793</v>
      </c>
      <c r="V280" s="14">
        <f t="shared" si="21"/>
        <v>-7.9641204997204795</v>
      </c>
      <c r="W280" s="14">
        <f t="shared" si="22"/>
        <v>0.7245791794106609</v>
      </c>
      <c r="X280" s="14">
        <f t="shared" si="23"/>
        <v>0.10254950173151478</v>
      </c>
      <c r="Y280" s="14">
        <f t="shared" si="24"/>
        <v>-0.00046911644731428837</v>
      </c>
      <c r="Z280" s="15">
        <f t="shared" si="25"/>
        <v>-8.038365426511998</v>
      </c>
    </row>
    <row r="281" spans="18:26" ht="12">
      <c r="R281" s="13">
        <v>262.4389797368339</v>
      </c>
      <c r="S281" s="13">
        <f t="shared" si="18"/>
        <v>0.03739121862842803</v>
      </c>
      <c r="T281" s="13">
        <f t="shared" si="19"/>
        <v>0.0013979403470563982</v>
      </c>
      <c r="U281" s="14">
        <f t="shared" si="20"/>
        <v>-0.8584955249769166</v>
      </c>
      <c r="V281" s="14">
        <f t="shared" si="21"/>
        <v>-8.796986661523427</v>
      </c>
      <c r="W281" s="14">
        <f t="shared" si="22"/>
        <v>0.7552279746321346</v>
      </c>
      <c r="X281" s="14">
        <f t="shared" si="23"/>
        <v>0.10666037721913568</v>
      </c>
      <c r="Y281" s="14">
        <f t="shared" si="24"/>
        <v>-0.0004897075638328197</v>
      </c>
      <c r="Z281" s="15">
        <f t="shared" si="25"/>
        <v>-8.794083542212906</v>
      </c>
    </row>
    <row r="282" spans="18:26" ht="12">
      <c r="R282" s="13">
        <v>267.6877593315706</v>
      </c>
      <c r="S282" s="13">
        <f t="shared" si="18"/>
        <v>0.03813904300099659</v>
      </c>
      <c r="T282" s="13">
        <f t="shared" si="19"/>
        <v>0.0014544102910656713</v>
      </c>
      <c r="U282" s="14">
        <f t="shared" si="20"/>
        <v>-0.8183593154118824</v>
      </c>
      <c r="V282" s="14">
        <f t="shared" si="21"/>
        <v>-9.72909943018388</v>
      </c>
      <c r="W282" s="14">
        <f t="shared" si="22"/>
        <v>0.7872283961630799</v>
      </c>
      <c r="X282" s="14">
        <f t="shared" si="23"/>
        <v>0.11093472066689802</v>
      </c>
      <c r="Y282" s="14">
        <f t="shared" si="24"/>
        <v>-0.0005111324436750664</v>
      </c>
      <c r="Z282" s="15">
        <f t="shared" si="25"/>
        <v>-9.64980676120946</v>
      </c>
    </row>
    <row r="283" spans="18:26" ht="12">
      <c r="R283" s="13">
        <v>273.041514518202</v>
      </c>
      <c r="S283" s="13">
        <f t="shared" si="18"/>
        <v>0.038901823861016524</v>
      </c>
      <c r="T283" s="13">
        <f t="shared" si="19"/>
        <v>0.001513161056509847</v>
      </c>
      <c r="U283" s="14">
        <f t="shared" si="20"/>
        <v>-0.7803527437503917</v>
      </c>
      <c r="V283" s="14">
        <f t="shared" si="21"/>
        <v>-10.7617133591299</v>
      </c>
      <c r="W283" s="14">
        <f t="shared" si="22"/>
        <v>0.8206444022022978</v>
      </c>
      <c r="X283" s="14">
        <f t="shared" si="23"/>
        <v>0.11537892546945194</v>
      </c>
      <c r="Y283" s="14">
        <f t="shared" si="24"/>
        <v>-0.0005334249262576307</v>
      </c>
      <c r="Z283" s="15">
        <f t="shared" si="25"/>
        <v>-10.6065762001348</v>
      </c>
    </row>
    <row r="284" spans="18:26" ht="12">
      <c r="R284" s="13">
        <v>278.5023448085661</v>
      </c>
      <c r="S284" s="13">
        <f t="shared" si="18"/>
        <v>0.03967986033823685</v>
      </c>
      <c r="T284" s="13">
        <f t="shared" si="19"/>
        <v>0.001574284742061765</v>
      </c>
      <c r="U284" s="14">
        <f t="shared" si="20"/>
        <v>-0.7443432879684124</v>
      </c>
      <c r="V284" s="14">
        <f t="shared" si="21"/>
        <v>-11.879267501550167</v>
      </c>
      <c r="W284" s="14">
        <f t="shared" si="22"/>
        <v>0.8555433069619127</v>
      </c>
      <c r="X284" s="14">
        <f t="shared" si="23"/>
        <v>0.11999962650727891</v>
      </c>
      <c r="Y284" s="14">
        <f t="shared" si="24"/>
        <v>-0.0005566202309466028</v>
      </c>
      <c r="Z284" s="15">
        <f t="shared" si="25"/>
        <v>-11.648624476280334</v>
      </c>
    </row>
    <row r="285" spans="18:26" ht="12">
      <c r="R285" s="13">
        <v>284.0723917047374</v>
      </c>
      <c r="S285" s="13">
        <f t="shared" si="18"/>
        <v>0.04047345754500159</v>
      </c>
      <c r="T285" s="13">
        <f t="shared" si="19"/>
        <v>0.0016378771633469246</v>
      </c>
      <c r="U285" s="14">
        <f t="shared" si="20"/>
        <v>-0.7102081228777806</v>
      </c>
      <c r="V285" s="14">
        <f t="shared" si="21"/>
        <v>-13.027931329727139</v>
      </c>
      <c r="W285" s="14">
        <f t="shared" si="22"/>
        <v>0.8919959802159383</v>
      </c>
      <c r="X285" s="14">
        <f t="shared" si="23"/>
        <v>0.12480370858607426</v>
      </c>
      <c r="Y285" s="14">
        <f t="shared" si="24"/>
        <v>-0.0005807550138676731</v>
      </c>
      <c r="Z285" s="15">
        <f t="shared" si="25"/>
        <v>-12.721920518816773</v>
      </c>
    </row>
    <row r="286" spans="18:26" ht="12">
      <c r="R286" s="13">
        <v>289.75383953883215</v>
      </c>
      <c r="S286" s="13">
        <f t="shared" si="18"/>
        <v>0.041282926695901626</v>
      </c>
      <c r="T286" s="13">
        <f t="shared" si="19"/>
        <v>0.0017040380027924047</v>
      </c>
      <c r="U286" s="14">
        <f t="shared" si="20"/>
        <v>-0.6778333051786873</v>
      </c>
      <c r="V286" s="14">
        <f t="shared" si="21"/>
        <v>-14.080478864378549</v>
      </c>
      <c r="W286" s="14">
        <f t="shared" si="22"/>
        <v>0.9300770602638622</v>
      </c>
      <c r="X286" s="14">
        <f t="shared" si="23"/>
        <v>0.1297983151169113</v>
      </c>
      <c r="Y286" s="14">
        <f t="shared" si="24"/>
        <v>-0.0006058674271014475</v>
      </c>
      <c r="Z286" s="15">
        <f t="shared" si="25"/>
        <v>-13.699042661603563</v>
      </c>
    </row>
    <row r="287" spans="18:26" ht="12">
      <c r="R287" s="13">
        <v>295.5489163296088</v>
      </c>
      <c r="S287" s="13">
        <f t="shared" si="18"/>
        <v>0.04210858522981965</v>
      </c>
      <c r="T287" s="13">
        <f t="shared" si="19"/>
        <v>0.001772870965503644</v>
      </c>
      <c r="U287" s="14">
        <f t="shared" si="20"/>
        <v>-0.6471130349317988</v>
      </c>
      <c r="V287" s="14">
        <f t="shared" si="21"/>
        <v>-14.812831106130723</v>
      </c>
      <c r="W287" s="14">
        <f t="shared" si="22"/>
        <v>0.9698651813117394</v>
      </c>
      <c r="X287" s="14">
        <f t="shared" si="23"/>
        <v>0.13499085703958702</v>
      </c>
      <c r="Y287" s="14">
        <f t="shared" si="24"/>
        <v>-0.0006319971803674385</v>
      </c>
      <c r="Z287" s="15">
        <f t="shared" si="25"/>
        <v>-14.355720099891563</v>
      </c>
    </row>
    <row r="288" spans="18:26" ht="12">
      <c r="R288" s="13">
        <v>301.45989465620096</v>
      </c>
      <c r="S288" s="13">
        <f t="shared" si="18"/>
        <v>0.04295075693441605</v>
      </c>
      <c r="T288" s="13">
        <f t="shared" si="19"/>
        <v>0.0018444839414104635</v>
      </c>
      <c r="U288" s="14">
        <f t="shared" si="20"/>
        <v>-0.6179489856216733</v>
      </c>
      <c r="V288" s="14">
        <f t="shared" si="21"/>
        <v>-14.979153760144627</v>
      </c>
      <c r="W288" s="14">
        <f t="shared" si="22"/>
        <v>1.0114432163558362</v>
      </c>
      <c r="X288" s="14">
        <f t="shared" si="23"/>
        <v>0.1403890219912931</v>
      </c>
      <c r="Y288" s="14">
        <f t="shared" si="24"/>
        <v>-0.0006591856052975409</v>
      </c>
      <c r="Z288" s="15">
        <f t="shared" si="25"/>
        <v>-14.445929693024468</v>
      </c>
    </row>
    <row r="289" spans="18:26" ht="12">
      <c r="R289" s="13">
        <v>307.489092549325</v>
      </c>
      <c r="S289" s="13">
        <f t="shared" si="18"/>
        <v>0.043809772073104374</v>
      </c>
      <c r="T289" s="13">
        <f t="shared" si="19"/>
        <v>0.0019189891739332702</v>
      </c>
      <c r="U289" s="14">
        <f t="shared" si="20"/>
        <v>-0.5902496958487546</v>
      </c>
      <c r="V289" s="14">
        <f t="shared" si="21"/>
        <v>-14.510739620254967</v>
      </c>
      <c r="W289" s="14">
        <f t="shared" si="22"/>
        <v>1.0548985367447017</v>
      </c>
      <c r="X289" s="14">
        <f t="shared" si="23"/>
        <v>0.14600078372221414</v>
      </c>
      <c r="Y289" s="14">
        <f t="shared" si="24"/>
        <v>-0.0006874757224224481</v>
      </c>
      <c r="Z289" s="15">
        <f t="shared" si="25"/>
        <v>-13.900777471359227</v>
      </c>
    </row>
    <row r="290" spans="18:26" ht="12">
      <c r="R290" s="13">
        <v>313.6388744003115</v>
      </c>
      <c r="S290" s="13">
        <f t="shared" si="18"/>
        <v>0.044685967514566466</v>
      </c>
      <c r="T290" s="13">
        <f t="shared" si="19"/>
        <v>0.001996503435430372</v>
      </c>
      <c r="U290" s="14">
        <f t="shared" si="20"/>
        <v>-0.5639300164508754</v>
      </c>
      <c r="V290" s="14">
        <f t="shared" si="21"/>
        <v>-13.588284353564546</v>
      </c>
      <c r="W290" s="14">
        <f t="shared" si="22"/>
        <v>1.1003232896944581</v>
      </c>
      <c r="X290" s="14">
        <f t="shared" si="23"/>
        <v>0.1518344117592676</v>
      </c>
      <c r="Y290" s="14">
        <f t="shared" si="24"/>
        <v>-0.0007169123109842523</v>
      </c>
      <c r="Z290" s="15">
        <f t="shared" si="25"/>
        <v>-12.90077358087268</v>
      </c>
    </row>
    <row r="291" spans="18:26" ht="12">
      <c r="R291" s="13">
        <v>319.91165188831775</v>
      </c>
      <c r="S291" s="13">
        <f t="shared" si="18"/>
        <v>0.04557968686485779</v>
      </c>
      <c r="T291" s="13">
        <f t="shared" si="19"/>
        <v>0.002077148209697606</v>
      </c>
      <c r="U291" s="14">
        <f t="shared" si="20"/>
        <v>-0.5389106075280239</v>
      </c>
      <c r="V291" s="14">
        <f t="shared" si="21"/>
        <v>-12.466503875835073</v>
      </c>
      <c r="W291" s="14">
        <f t="shared" si="22"/>
        <v>1.1478146951412356</v>
      </c>
      <c r="X291" s="14">
        <f t="shared" si="23"/>
        <v>0.15789848131862527</v>
      </c>
      <c r="Y291" s="14">
        <f t="shared" si="24"/>
        <v>-0.0007475419816973528</v>
      </c>
      <c r="Z291" s="15">
        <f t="shared" si="25"/>
        <v>-11.700448848884934</v>
      </c>
    </row>
    <row r="292" spans="18:26" ht="12">
      <c r="R292" s="13">
        <v>326.3098849260841</v>
      </c>
      <c r="S292" s="13">
        <f t="shared" si="18"/>
        <v>0.046491280602154954</v>
      </c>
      <c r="T292" s="13">
        <f t="shared" si="19"/>
        <v>0.0021610498818022874</v>
      </c>
      <c r="U292" s="14">
        <f t="shared" si="20"/>
        <v>-0.5151174804384837</v>
      </c>
      <c r="V292" s="14">
        <f t="shared" si="21"/>
        <v>-11.322596075758334</v>
      </c>
      <c r="W292" s="14">
        <f t="shared" si="22"/>
        <v>1.197475363434016</v>
      </c>
      <c r="X292" s="14">
        <f t="shared" si="23"/>
        <v>0.16420188346714149</v>
      </c>
      <c r="Y292" s="14">
        <f t="shared" si="24"/>
        <v>-0.0007794132526028896</v>
      </c>
      <c r="Z292" s="15">
        <f t="shared" si="25"/>
        <v>-10.476815722548263</v>
      </c>
    </row>
    <row r="293" spans="18:26" ht="12">
      <c r="R293" s="13">
        <v>332.8360826246058</v>
      </c>
      <c r="S293" s="13">
        <f t="shared" si="18"/>
        <v>0.047421106214198046</v>
      </c>
      <c r="T293" s="13">
        <f t="shared" si="19"/>
        <v>0.002248339935544552</v>
      </c>
      <c r="U293" s="14">
        <f t="shared" si="20"/>
        <v>-0.4924815803609164</v>
      </c>
      <c r="V293" s="14">
        <f t="shared" si="21"/>
        <v>-10.24291248315739</v>
      </c>
      <c r="W293" s="14">
        <f t="shared" si="22"/>
        <v>1.2494136355029397</v>
      </c>
      <c r="X293" s="14">
        <f t="shared" si="23"/>
        <v>0.17075383553214074</v>
      </c>
      <c r="Y293" s="14">
        <f t="shared" si="24"/>
        <v>-0.0008125766281232849</v>
      </c>
      <c r="Z293" s="15">
        <f t="shared" si="25"/>
        <v>-9.316039169111349</v>
      </c>
    </row>
    <row r="294" spans="18:26" ht="12">
      <c r="R294" s="13">
        <v>339.49280427709795</v>
      </c>
      <c r="S294" s="13">
        <f t="shared" si="18"/>
        <v>0.048369528338482015</v>
      </c>
      <c r="T294" s="13">
        <f t="shared" si="19"/>
        <v>0.002339155158850844</v>
      </c>
      <c r="U294" s="14">
        <f t="shared" si="20"/>
        <v>-0.47093840548224364</v>
      </c>
      <c r="V294" s="14">
        <f t="shared" si="21"/>
        <v>-9.25892118257692</v>
      </c>
      <c r="W294" s="14">
        <f t="shared" si="22"/>
        <v>1.303743947283401</v>
      </c>
      <c r="X294" s="14">
        <f t="shared" si="23"/>
        <v>0.17756389175839615</v>
      </c>
      <c r="Y294" s="14">
        <f t="shared" si="24"/>
        <v>-0.0008470846814914168</v>
      </c>
      <c r="Z294" s="15">
        <f t="shared" si="25"/>
        <v>-8.249398833698859</v>
      </c>
    </row>
    <row r="295" spans="18:26" ht="12">
      <c r="R295" s="13">
        <v>346.2826603626399</v>
      </c>
      <c r="S295" s="13">
        <f t="shared" si="18"/>
        <v>0.04933691890525165</v>
      </c>
      <c r="T295" s="13">
        <f t="shared" si="19"/>
        <v>0.0024336378574162138</v>
      </c>
      <c r="U295" s="14">
        <f t="shared" si="20"/>
        <v>-0.4504276592851113</v>
      </c>
      <c r="V295" s="14">
        <f t="shared" si="21"/>
        <v>-8.37609053901651</v>
      </c>
      <c r="W295" s="14">
        <f t="shared" si="22"/>
        <v>1.3605872203361358</v>
      </c>
      <c r="X295" s="14">
        <f t="shared" si="23"/>
        <v>0.1846419542103357</v>
      </c>
      <c r="Y295" s="14">
        <f t="shared" si="24"/>
        <v>-0.0008829921406832142</v>
      </c>
      <c r="Z295" s="15">
        <f t="shared" si="25"/>
        <v>-7.282172015895832</v>
      </c>
    </row>
    <row r="296" spans="18:26" ht="12">
      <c r="R296" s="13">
        <v>353.2083135698927</v>
      </c>
      <c r="S296" s="13">
        <f t="shared" si="18"/>
        <v>0.050323657283356686</v>
      </c>
      <c r="T296" s="13">
        <f t="shared" si="19"/>
        <v>0.0025319360769247</v>
      </c>
      <c r="U296" s="14">
        <f t="shared" si="20"/>
        <v>-0.43089293277431295</v>
      </c>
      <c r="V296" s="14">
        <f t="shared" si="21"/>
        <v>-7.589176617474742</v>
      </c>
      <c r="W296" s="14">
        <f t="shared" si="22"/>
        <v>1.4200712807814213</v>
      </c>
      <c r="X296" s="14">
        <f t="shared" si="23"/>
        <v>0.1919982839168064</v>
      </c>
      <c r="Y296" s="14">
        <f t="shared" si="24"/>
        <v>-0.0009203559780259774</v>
      </c>
      <c r="Z296" s="15">
        <f t="shared" si="25"/>
        <v>-6.408920341528853</v>
      </c>
    </row>
    <row r="297" spans="18:26" ht="12">
      <c r="R297" s="13">
        <v>360.2724798412906</v>
      </c>
      <c r="S297" s="13">
        <f t="shared" si="18"/>
        <v>0.051330130429023825</v>
      </c>
      <c r="T297" s="13">
        <f t="shared" si="19"/>
        <v>0.0026342038341899145</v>
      </c>
      <c r="U297" s="14">
        <f t="shared" si="20"/>
        <v>-0.4122814138086994</v>
      </c>
      <c r="V297" s="14">
        <f t="shared" si="21"/>
        <v>-6.889228866231328</v>
      </c>
      <c r="W297" s="14">
        <f t="shared" si="22"/>
        <v>1.4823313088615393</v>
      </c>
      <c r="X297" s="14">
        <f t="shared" si="23"/>
        <v>0.1996435122547915</v>
      </c>
      <c r="Y297" s="14">
        <f t="shared" si="24"/>
        <v>-0.0009592355036267541</v>
      </c>
      <c r="Z297" s="15">
        <f t="shared" si="25"/>
        <v>-5.6204946944273235</v>
      </c>
    </row>
    <row r="298" spans="18:26" ht="12">
      <c r="R298" s="13">
        <v>367.4779294381164</v>
      </c>
      <c r="S298" s="13">
        <f t="shared" si="18"/>
        <v>0.052356733037604304</v>
      </c>
      <c r="T298" s="13">
        <f t="shared" si="19"/>
        <v>0.002740601357571516</v>
      </c>
      <c r="U298" s="14">
        <f t="shared" si="20"/>
        <v>-0.39454362099423435</v>
      </c>
      <c r="V298" s="14">
        <f t="shared" si="21"/>
        <v>-6.266582575611686</v>
      </c>
      <c r="W298" s="14">
        <f t="shared" si="22"/>
        <v>1.547510321663843</v>
      </c>
      <c r="X298" s="14">
        <f t="shared" si="23"/>
        <v>0.20758865256761805</v>
      </c>
      <c r="Y298" s="14">
        <f t="shared" si="24"/>
        <v>-0.0009996924628130621</v>
      </c>
      <c r="Z298" s="15">
        <f t="shared" si="25"/>
        <v>-4.907026914837273</v>
      </c>
    </row>
    <row r="299" spans="18:26" ht="12">
      <c r="R299" s="13">
        <v>374.8274880268787</v>
      </c>
      <c r="S299" s="13">
        <f t="shared" si="18"/>
        <v>0.05340386769835639</v>
      </c>
      <c r="T299" s="13">
        <f t="shared" si="19"/>
        <v>0.002851295337037177</v>
      </c>
      <c r="U299" s="14">
        <f t="shared" si="20"/>
        <v>-0.3776331598521949</v>
      </c>
      <c r="V299" s="14">
        <f t="shared" si="21"/>
        <v>-5.712051943577855</v>
      </c>
      <c r="W299" s="14">
        <f t="shared" si="22"/>
        <v>1.6157596917793455</v>
      </c>
      <c r="X299" s="14">
        <f t="shared" si="23"/>
        <v>0.2158451120121807</v>
      </c>
      <c r="Y299" s="14">
        <f t="shared" si="24"/>
        <v>-0.0010417911377604838</v>
      </c>
      <c r="Z299" s="15">
        <f t="shared" si="25"/>
        <v>-4.259122090776284</v>
      </c>
    </row>
    <row r="300" spans="18:26" ht="12">
      <c r="R300" s="13">
        <v>382.3240377874163</v>
      </c>
      <c r="S300" s="13">
        <f t="shared" si="18"/>
        <v>0.054471945052323514</v>
      </c>
      <c r="T300" s="13">
        <f t="shared" si="19"/>
        <v>0.0029664591842541756</v>
      </c>
      <c r="U300" s="14">
        <f t="shared" si="20"/>
        <v>-0.361506499207195</v>
      </c>
      <c r="V300" s="14">
        <f t="shared" si="21"/>
        <v>-5.217342654817109</v>
      </c>
      <c r="W300" s="14">
        <f t="shared" si="22"/>
        <v>1.6872397049410637</v>
      </c>
      <c r="X300" s="14">
        <f t="shared" si="23"/>
        <v>0.22442470362867972</v>
      </c>
      <c r="Y300" s="14">
        <f t="shared" si="24"/>
        <v>-0.0010855984534892116</v>
      </c>
      <c r="Z300" s="15">
        <f t="shared" si="25"/>
        <v>-3.66827034390805</v>
      </c>
    </row>
    <row r="301" spans="18:26" ht="12">
      <c r="R301" s="13">
        <v>389.9705185431646</v>
      </c>
      <c r="S301" s="13">
        <f t="shared" si="18"/>
        <v>0.05556138395336998</v>
      </c>
      <c r="T301" s="13">
        <f t="shared" si="19"/>
        <v>0.0030862733031098055</v>
      </c>
      <c r="U301" s="14">
        <f t="shared" si="20"/>
        <v>-0.34612276594421587</v>
      </c>
      <c r="V301" s="14">
        <f t="shared" si="21"/>
        <v>-4.775135500914871</v>
      </c>
      <c r="W301" s="14">
        <f t="shared" si="22"/>
        <v>1.7621201599868002</v>
      </c>
      <c r="X301" s="14">
        <f t="shared" si="23"/>
        <v>0.23333965862524408</v>
      </c>
      <c r="Y301" s="14">
        <f t="shared" si="24"/>
        <v>-0.0011311840884373758</v>
      </c>
      <c r="Z301" s="15">
        <f t="shared" si="25"/>
        <v>-3.12692963233548</v>
      </c>
    </row>
    <row r="302" spans="18:26" ht="12">
      <c r="R302" s="13">
        <v>397.7699289140279</v>
      </c>
      <c r="S302" s="13">
        <f t="shared" si="18"/>
        <v>0.056672611632437385</v>
      </c>
      <c r="T302" s="13">
        <f t="shared" si="19"/>
        <v>0.0032109253710754394</v>
      </c>
      <c r="U302" s="14">
        <f t="shared" si="20"/>
        <v>-0.3314435564682512</v>
      </c>
      <c r="V302" s="14">
        <f t="shared" si="21"/>
        <v>-4.379038672702507</v>
      </c>
      <c r="W302" s="14">
        <f t="shared" si="22"/>
        <v>1.840581014825709</v>
      </c>
      <c r="X302" s="14">
        <f t="shared" si="23"/>
        <v>0.2426026388686333</v>
      </c>
      <c r="Y302" s="14">
        <f t="shared" si="24"/>
        <v>-0.0011786205898194346</v>
      </c>
      <c r="Z302" s="15">
        <f t="shared" si="25"/>
        <v>-2.628477196066235</v>
      </c>
    </row>
    <row r="303" spans="18:26" ht="12">
      <c r="R303" s="13">
        <v>405.72532749230845</v>
      </c>
      <c r="S303" s="13">
        <f t="shared" si="18"/>
        <v>0.057806063865086126</v>
      </c>
      <c r="T303" s="13">
        <f t="shared" si="19"/>
        <v>0.003340610631845276</v>
      </c>
      <c r="U303" s="14">
        <f t="shared" si="20"/>
        <v>-0.31743276336315773</v>
      </c>
      <c r="V303" s="14">
        <f t="shared" si="21"/>
        <v>-4.023494388918088</v>
      </c>
      <c r="W303" s="14">
        <f t="shared" si="22"/>
        <v>1.9228130824604293</v>
      </c>
      <c r="X303" s="14">
        <f t="shared" si="23"/>
        <v>0.2522267495709345</v>
      </c>
      <c r="Y303" s="14">
        <f t="shared" si="24"/>
        <v>-0.0012279834939912249</v>
      </c>
      <c r="Z303" s="15">
        <f t="shared" si="25"/>
        <v>-2.1671153037438735</v>
      </c>
    </row>
    <row r="304" spans="18:26" ht="12">
      <c r="R304" s="13">
        <v>413.8398340421546</v>
      </c>
      <c r="S304" s="13">
        <f t="shared" si="18"/>
        <v>0.05896218514238785</v>
      </c>
      <c r="T304" s="13">
        <f t="shared" si="19"/>
        <v>0.0034755321996976936</v>
      </c>
      <c r="U304" s="14">
        <f t="shared" si="20"/>
        <v>-0.30405641589368315</v>
      </c>
      <c r="V304" s="14">
        <f t="shared" si="21"/>
        <v>-3.70367617462513</v>
      </c>
      <c r="W304" s="14">
        <f t="shared" si="22"/>
        <v>2.0090187815318146</v>
      </c>
      <c r="X304" s="14">
        <f t="shared" si="23"/>
        <v>0.2622255521609276</v>
      </c>
      <c r="Y304" s="14">
        <f t="shared" si="24"/>
        <v>-0.0012793514520414995</v>
      </c>
      <c r="Z304" s="15">
        <f t="shared" si="25"/>
        <v>-1.7377676082781126</v>
      </c>
    </row>
    <row r="305" spans="18:26" ht="12">
      <c r="R305" s="13">
        <v>422.11663072299774</v>
      </c>
      <c r="S305" s="13">
        <f t="shared" si="18"/>
        <v>0.060141428845235614</v>
      </c>
      <c r="T305" s="13">
        <f t="shared" si="19"/>
        <v>0.003615901376044521</v>
      </c>
      <c r="U305" s="14">
        <f t="shared" si="20"/>
        <v>-0.2912825331255746</v>
      </c>
      <c r="V305" s="14">
        <f t="shared" si="21"/>
        <v>-3.4153913485658762</v>
      </c>
      <c r="W305" s="14">
        <f t="shared" si="22"/>
        <v>2.099412946314466</v>
      </c>
      <c r="X305" s="14">
        <f t="shared" si="23"/>
        <v>0.27261307732726436</v>
      </c>
      <c r="Y305" s="14">
        <f t="shared" si="24"/>
        <v>-0.0013328063608644136</v>
      </c>
      <c r="Z305" s="15">
        <f t="shared" si="25"/>
        <v>-1.335980664410585</v>
      </c>
    </row>
    <row r="306" spans="18:26" ht="12">
      <c r="R306" s="13">
        <v>430.5589633374577</v>
      </c>
      <c r="S306" s="13">
        <f t="shared" si="18"/>
        <v>0.06134425742214033</v>
      </c>
      <c r="T306" s="13">
        <f t="shared" si="19"/>
        <v>0.003761937978651734</v>
      </c>
      <c r="U306" s="14">
        <f t="shared" si="20"/>
        <v>-0.2790809885566574</v>
      </c>
      <c r="V306" s="14">
        <f t="shared" si="21"/>
        <v>-3.154993764544116</v>
      </c>
      <c r="W306" s="14">
        <f t="shared" si="22"/>
        <v>2.194223701602205</v>
      </c>
      <c r="X306" s="14">
        <f t="shared" si="23"/>
        <v>0.28340383821930804</v>
      </c>
      <c r="Y306" s="14">
        <f t="shared" si="24"/>
        <v>-0.0013884334999638703</v>
      </c>
      <c r="Z306" s="15">
        <f t="shared" si="25"/>
        <v>-0.9578356467792246</v>
      </c>
    </row>
    <row r="307" spans="18:26" ht="12">
      <c r="R307" s="13">
        <v>439.1701426042069</v>
      </c>
      <c r="S307" s="13">
        <f t="shared" si="18"/>
        <v>0.06257114257058313</v>
      </c>
      <c r="T307" s="13">
        <f t="shared" si="19"/>
        <v>0.0039138706840338355</v>
      </c>
      <c r="U307" s="14">
        <f t="shared" si="20"/>
        <v>-0.2674233852570822</v>
      </c>
      <c r="V307" s="14">
        <f t="shared" si="21"/>
        <v>-2.919307796908271</v>
      </c>
      <c r="W307" s="14">
        <f t="shared" si="22"/>
        <v>2.293693408487414</v>
      </c>
      <c r="X307" s="14">
        <f t="shared" si="23"/>
        <v>0.29461284378983965</v>
      </c>
      <c r="Y307" s="14">
        <f t="shared" si="24"/>
        <v>-0.0014463216742628404</v>
      </c>
      <c r="Z307" s="15">
        <f t="shared" si="25"/>
        <v>-0.5998712515623623</v>
      </c>
    </row>
    <row r="308" spans="18:26" ht="12">
      <c r="R308" s="13">
        <v>447.953545456291</v>
      </c>
      <c r="S308" s="13">
        <f aca="true" t="shared" si="26" ref="S308:S371">2*PI()*R308/44100</f>
        <v>0.0638225654219948</v>
      </c>
      <c r="T308" s="13">
        <f aca="true" t="shared" si="27" ref="T308:T371">4*(SIN(S308/2))^2</f>
        <v>0.004071937383543716</v>
      </c>
      <c r="U308" s="14">
        <f aca="true" t="shared" si="28" ref="U308:U371">10*LOG10(($G$116+$G$117+$G$118)^2+($G$116*$G$118*T308-($G$117*($G$116+$G$118)+4*$G$116*$G$118))*T308)-10*LOG10((1+$G$119+$G$120)^2+(1*$G$120*T308-($G$119*(1+$G$120)+4*1*$G$120))*T308)</f>
        <v>-0.25628294061198886</v>
      </c>
      <c r="V308" s="14">
        <f aca="true" t="shared" si="29" ref="V308:V371">10*LOG10(($G$121+$G$122+$G$123)^2+($G$121*$G$123*$T308-($G$122*($G$121+$G$123)+4*$G$121*$G$123))*$T308)-10*LOG10((1+$G$124+$G$125)^2+(1*$G$125*$T308-($G$124*(1+$G$125)+4*1*$G$125))*$T308)</f>
        <v>-2.705562938263803</v>
      </c>
      <c r="W308" s="14">
        <f aca="true" t="shared" si="30" ref="W308:W371">10*LOG10(($G$126+$G$127+$G$128)^2+($G$126*$G$128*$T308-($G$127*($G$126+$G$128)+4*$G$126*$G$128))*$T308)-10*LOG10((1+$G$129+$G$130)^2+(1*$G$130*$T308-($G$129*(1+$G$130)+4*1*$G$130))*$T308)</f>
        <v>2.398079687656498</v>
      </c>
      <c r="X308" s="14">
        <f aca="true" t="shared" si="31" ref="X308:X371">10*LOG10(($G$131+$G$132+$G$133)^2+($G$131*$G$133*$T308-($G$132*($G$131+$G$133)+4*$G$131*$G$133))*$T308)-10*LOG10((1+$G$134+$G$135)^2+(1*$G$135*$T308-($G$134*(1+$G$135)+4*1*$G$135))*$T308)</f>
        <v>0.306255612262305</v>
      </c>
      <c r="Y308" s="14">
        <f aca="true" t="shared" si="32" ref="Y308:Y371">10*LOG10(($G$136+$G$137+$G$138)^2+($G$136*$G$138*$T308-($G$137*($G$136+$G$138)+4*$G$136*$G$138))*$T308)-10*LOG10((1+$G$139+$G$140)^2+(1*$G$140*$T308-($G$139*(1+$G$140)+4*1*$G$140))*$T308)</f>
        <v>-0.0015065633631849984</v>
      </c>
      <c r="Z308" s="15">
        <f aca="true" t="shared" si="33" ref="Z308:Z371">U308+V308+W308+X308+Y308</f>
        <v>-0.2590171423201739</v>
      </c>
    </row>
    <row r="309" spans="18:26" ht="12">
      <c r="R309" s="13">
        <v>456.91261636541685</v>
      </c>
      <c r="S309" s="13">
        <f t="shared" si="26"/>
        <v>0.0650990167304347</v>
      </c>
      <c r="T309" s="13">
        <f t="shared" si="27"/>
        <v>0.004236385553699928</v>
      </c>
      <c r="U309" s="14">
        <f t="shared" si="28"/>
        <v>-0.24563437984480885</v>
      </c>
      <c r="V309" s="14">
        <f t="shared" si="29"/>
        <v>-2.5113378267311504</v>
      </c>
      <c r="W309" s="14">
        <f t="shared" si="30"/>
        <v>2.5076565274958966</v>
      </c>
      <c r="X309" s="14">
        <f t="shared" si="31"/>
        <v>0.31834818470366066</v>
      </c>
      <c r="Y309" s="14">
        <f t="shared" si="32"/>
        <v>-0.0015692548763244218</v>
      </c>
      <c r="Z309" s="15">
        <f t="shared" si="33"/>
        <v>0.06746325074727366</v>
      </c>
    </row>
    <row r="310" spans="18:26" ht="12">
      <c r="R310" s="13">
        <v>466.0508686927252</v>
      </c>
      <c r="S310" s="13">
        <f t="shared" si="26"/>
        <v>0.06640099706504339</v>
      </c>
      <c r="T310" s="13">
        <f t="shared" si="27"/>
        <v>0.004407472641314422</v>
      </c>
      <c r="U310" s="14">
        <f t="shared" si="28"/>
        <v>-0.23545383757606686</v>
      </c>
      <c r="V310" s="14">
        <f t="shared" si="29"/>
        <v>-2.3345124253902014</v>
      </c>
      <c r="W310" s="14">
        <f t="shared" si="30"/>
        <v>2.622715485024429</v>
      </c>
      <c r="X310" s="14">
        <f t="shared" si="31"/>
        <v>0.3309071386821234</v>
      </c>
      <c r="Y310" s="14">
        <f t="shared" si="32"/>
        <v>-0.0016344965159973412</v>
      </c>
      <c r="Z310" s="15">
        <f t="shared" si="33"/>
        <v>0.38202186422428674</v>
      </c>
    </row>
    <row r="311" spans="18:26" ht="12">
      <c r="R311" s="13">
        <v>475.3718860665797</v>
      </c>
      <c r="S311" s="13">
        <f t="shared" si="26"/>
        <v>0.06772901700634425</v>
      </c>
      <c r="T311" s="13">
        <f t="shared" si="27"/>
        <v>0.004585466464005348</v>
      </c>
      <c r="U311" s="14">
        <f t="shared" si="28"/>
        <v>-0.22571876674153657</v>
      </c>
      <c r="V311" s="14">
        <f t="shared" si="29"/>
        <v>-2.1732271618461922</v>
      </c>
      <c r="W311" s="14">
        <f t="shared" si="30"/>
        <v>2.7435669884244263</v>
      </c>
      <c r="X311" s="14">
        <f t="shared" si="31"/>
        <v>0.3439496019874646</v>
      </c>
      <c r="Y311" s="14">
        <f t="shared" si="32"/>
        <v>-0.0017023927470285471</v>
      </c>
      <c r="Z311" s="15">
        <f t="shared" si="33"/>
        <v>0.6868682690771335</v>
      </c>
    </row>
    <row r="312" spans="18:26" ht="12">
      <c r="R312" s="13">
        <v>484.8793237879113</v>
      </c>
      <c r="S312" s="13">
        <f t="shared" si="26"/>
        <v>0.06908359734647114</v>
      </c>
      <c r="T312" s="13">
        <f t="shared" si="27"/>
        <v>0.004770645626702221</v>
      </c>
      <c r="U312" s="14">
        <f t="shared" si="28"/>
        <v>-0.2164078542554151</v>
      </c>
      <c r="V312" s="14">
        <f t="shared" si="29"/>
        <v>-2.0258479794771986</v>
      </c>
      <c r="W312" s="14">
        <f t="shared" si="30"/>
        <v>2.8705417507175213</v>
      </c>
      <c r="X312" s="14">
        <f t="shared" si="31"/>
        <v>0.3574932663896657</v>
      </c>
      <c r="Y312" s="14">
        <f t="shared" si="32"/>
        <v>-0.0017730523740917548</v>
      </c>
      <c r="Z312" s="15">
        <f t="shared" si="33"/>
        <v>0.9840061310004815</v>
      </c>
    </row>
    <row r="313" spans="18:26" ht="12">
      <c r="R313" s="13">
        <v>494.5769102636695</v>
      </c>
      <c r="S313" s="13">
        <f t="shared" si="26"/>
        <v>0.07046526929340056</v>
      </c>
      <c r="T313" s="13">
        <f t="shared" si="27"/>
        <v>0.004963299954773968</v>
      </c>
      <c r="U313" s="14">
        <f t="shared" si="28"/>
        <v>-0.20750094286055543</v>
      </c>
      <c r="V313" s="14">
        <f t="shared" si="29"/>
        <v>-1.8909364026023</v>
      </c>
      <c r="W313" s="14">
        <f t="shared" si="30"/>
        <v>3.0039923048820967</v>
      </c>
      <c r="X313" s="14">
        <f t="shared" si="31"/>
        <v>0.3715564014099959</v>
      </c>
      <c r="Y313" s="14">
        <f t="shared" si="32"/>
        <v>-0.001846588726991616</v>
      </c>
      <c r="Z313" s="15">
        <f t="shared" si="33"/>
        <v>1.2752647721022456</v>
      </c>
    </row>
    <row r="314" spans="18:26" ht="12">
      <c r="R314" s="13">
        <v>504.4684484689429</v>
      </c>
      <c r="S314" s="13">
        <f t="shared" si="26"/>
        <v>0.07187457467926857</v>
      </c>
      <c r="T314" s="13">
        <f t="shared" si="27"/>
        <v>0.005163730944434698</v>
      </c>
      <c r="U314" s="14">
        <f t="shared" si="28"/>
        <v>-0.19897895865774018</v>
      </c>
      <c r="V314" s="14">
        <f t="shared" si="29"/>
        <v>-1.7672238559115598</v>
      </c>
      <c r="W314" s="14">
        <f t="shared" si="30"/>
        <v>3.144294671380237</v>
      </c>
      <c r="X314" s="14">
        <f t="shared" si="31"/>
        <v>0.3861578680767135</v>
      </c>
      <c r="Y314" s="14">
        <f t="shared" si="32"/>
        <v>-0.0019231198542568606</v>
      </c>
      <c r="Z314" s="15">
        <f t="shared" si="33"/>
        <v>1.5623266050333937</v>
      </c>
    </row>
    <row r="315" spans="18:26" ht="12">
      <c r="R315" s="13">
        <v>514.5578174383218</v>
      </c>
      <c r="S315" s="13">
        <f t="shared" si="26"/>
        <v>0.07331206617285395</v>
      </c>
      <c r="T315" s="13">
        <f t="shared" si="27"/>
        <v>0.005372252231106987</v>
      </c>
      <c r="U315" s="14">
        <f t="shared" si="28"/>
        <v>-0.1908238438519021</v>
      </c>
      <c r="V315" s="14">
        <f t="shared" si="29"/>
        <v>-1.6535895982263753</v>
      </c>
      <c r="W315" s="14">
        <f t="shared" si="30"/>
        <v>3.291850169558984</v>
      </c>
      <c r="X315" s="14">
        <f t="shared" si="31"/>
        <v>0.4013171326358389</v>
      </c>
      <c r="Y315" s="14">
        <f t="shared" si="32"/>
        <v>-0.002002768725466897</v>
      </c>
      <c r="Z315" s="15">
        <f t="shared" si="33"/>
        <v>1.8467510913910785</v>
      </c>
    </row>
    <row r="316" spans="18:26" ht="12">
      <c r="R316" s="13">
        <v>524.8489737870882</v>
      </c>
      <c r="S316" s="13">
        <f t="shared" si="26"/>
        <v>0.07477830749631102</v>
      </c>
      <c r="T316" s="13">
        <f t="shared" si="27"/>
        <v>0.005589190076448536</v>
      </c>
      <c r="U316" s="14">
        <f t="shared" si="28"/>
        <v>-0.1830184942943589</v>
      </c>
      <c r="V316" s="14">
        <f t="shared" si="29"/>
        <v>-1.5490417319144072</v>
      </c>
      <c r="W316" s="14">
        <f t="shared" si="30"/>
        <v>3.447087384571361</v>
      </c>
      <c r="X316" s="14">
        <f t="shared" si="31"/>
        <v>0.4170542801855559</v>
      </c>
      <c r="Y316" s="14">
        <f t="shared" si="32"/>
        <v>-0.002085663442723096</v>
      </c>
      <c r="Z316" s="15">
        <f t="shared" si="33"/>
        <v>2.129995775105428</v>
      </c>
    </row>
    <row r="317" spans="18:26" ht="12">
      <c r="R317" s="13">
        <v>535.34595326283</v>
      </c>
      <c r="S317" s="13">
        <f t="shared" si="26"/>
        <v>0.07627387364623725</v>
      </c>
      <c r="T317" s="13">
        <f t="shared" si="27"/>
        <v>0.005814883874774905</v>
      </c>
      <c r="U317" s="14">
        <f t="shared" si="28"/>
        <v>-0.17554670143705664</v>
      </c>
      <c r="V317" s="14">
        <f t="shared" si="29"/>
        <v>-1.4527008340347223</v>
      </c>
      <c r="W317" s="14">
        <f t="shared" si="30"/>
        <v>3.6104643011101984</v>
      </c>
      <c r="X317" s="14">
        <f t="shared" si="31"/>
        <v>0.43339002820112427</v>
      </c>
      <c r="Y317" s="14">
        <f t="shared" si="32"/>
        <v>-0.0021719374617301668</v>
      </c>
      <c r="Z317" s="15">
        <f t="shared" si="33"/>
        <v>2.4134348563778136</v>
      </c>
    </row>
    <row r="318" spans="18:26" ht="12">
      <c r="R318" s="13">
        <v>546.0528723280866</v>
      </c>
      <c r="S318" s="13">
        <f t="shared" si="26"/>
        <v>0.07779935111916199</v>
      </c>
      <c r="T318" s="13">
        <f t="shared" si="27"/>
        <v>0.006049686679638891</v>
      </c>
      <c r="U318" s="14">
        <f t="shared" si="28"/>
        <v>-0.16839309834859506</v>
      </c>
      <c r="V318" s="14">
        <f t="shared" si="29"/>
        <v>-1.3637858260038485</v>
      </c>
      <c r="W318" s="14">
        <f t="shared" si="30"/>
        <v>3.782470614037422</v>
      </c>
      <c r="X318" s="14">
        <f t="shared" si="31"/>
        <v>0.45034573991534543</v>
      </c>
      <c r="Y318" s="14">
        <f t="shared" si="32"/>
        <v>-0.0022617298229605787</v>
      </c>
      <c r="Z318" s="15">
        <f t="shared" si="33"/>
        <v>2.698375699777363</v>
      </c>
    </row>
    <row r="319" spans="18:26" ht="12">
      <c r="R319" s="13">
        <v>556.9739297746482</v>
      </c>
      <c r="S319" s="13">
        <f t="shared" si="26"/>
        <v>0.07935533814154523</v>
      </c>
      <c r="T319" s="13">
        <f t="shared" si="27"/>
        <v>0.006293965751355974</v>
      </c>
      <c r="U319" s="14">
        <f t="shared" si="28"/>
        <v>-0.16154310947261763</v>
      </c>
      <c r="V319" s="14">
        <f t="shared" si="29"/>
        <v>-1.2816017576067082</v>
      </c>
      <c r="W319" s="14">
        <f t="shared" si="30"/>
        <v>3.9636302234373417</v>
      </c>
      <c r="X319" s="14">
        <f t="shared" si="31"/>
        <v>0.4679434375180911</v>
      </c>
      <c r="Y319" s="14">
        <f t="shared" si="32"/>
        <v>-0.0023551853934069555</v>
      </c>
      <c r="Z319" s="15">
        <f t="shared" si="33"/>
        <v>2.9860736084827</v>
      </c>
    </row>
    <row r="320" spans="18:26" ht="12">
      <c r="R320" s="13">
        <v>568.1134083701412</v>
      </c>
      <c r="S320" s="13">
        <f t="shared" si="26"/>
        <v>0.08094244490437613</v>
      </c>
      <c r="T320" s="13">
        <f t="shared" si="27"/>
        <v>0.006548103126295024</v>
      </c>
      <c r="U320" s="14">
        <f t="shared" si="28"/>
        <v>-0.1549829038362205</v>
      </c>
      <c r="V320" s="14">
        <f t="shared" si="29"/>
        <v>-1.2055292305618295</v>
      </c>
      <c r="W320" s="14">
        <f t="shared" si="30"/>
        <v>4.154503917002792</v>
      </c>
      <c r="X320" s="14">
        <f t="shared" si="31"/>
        <v>0.4862058151366764</v>
      </c>
      <c r="Y320" s="14">
        <f t="shared" si="32"/>
        <v>-0.0024524551194611277</v>
      </c>
      <c r="Z320" s="15">
        <f t="shared" si="33"/>
        <v>3.2777451426219573</v>
      </c>
    </row>
    <row r="321" spans="18:26" ht="12">
      <c r="R321" s="13">
        <v>579.475676537544</v>
      </c>
      <c r="S321" s="13">
        <f t="shared" si="26"/>
        <v>0.08256129380246365</v>
      </c>
      <c r="T321" s="13">
        <f t="shared" si="27"/>
        <v>0.006812496208784458</v>
      </c>
      <c r="U321" s="14">
        <f t="shared" si="28"/>
        <v>-0.1486993514415218</v>
      </c>
      <c r="V321" s="14">
        <f t="shared" si="29"/>
        <v>-1.1350152282789594</v>
      </c>
      <c r="W321" s="14">
        <f t="shared" si="30"/>
        <v>4.355692234904808</v>
      </c>
      <c r="X321" s="14">
        <f t="shared" si="31"/>
        <v>0.5051562515576071</v>
      </c>
      <c r="Y321" s="14">
        <f t="shared" si="32"/>
        <v>-0.0025536962914713968</v>
      </c>
      <c r="Z321" s="15">
        <f t="shared" si="33"/>
        <v>3.5745802104504625</v>
      </c>
    </row>
    <row r="322" spans="18:26" ht="12">
      <c r="R322" s="13">
        <v>591.0651900682949</v>
      </c>
      <c r="S322" s="13">
        <f t="shared" si="26"/>
        <v>0.08421251967851293</v>
      </c>
      <c r="T322" s="13">
        <f t="shared" si="27"/>
        <v>0.007087558386515864</v>
      </c>
      <c r="U322" s="14">
        <f t="shared" si="28"/>
        <v>-0.14267998259596482</v>
      </c>
      <c r="V322" s="14">
        <f t="shared" si="29"/>
        <v>-1.069565153296928</v>
      </c>
      <c r="W322" s="14">
        <f t="shared" si="30"/>
        <v>4.567838499806712</v>
      </c>
      <c r="X322" s="14">
        <f t="shared" si="31"/>
        <v>0.524818822648732</v>
      </c>
      <c r="Y322" s="14">
        <f t="shared" si="32"/>
        <v>-0.0026590728205944103</v>
      </c>
      <c r="Z322" s="15">
        <f t="shared" si="33"/>
        <v>3.8777531137419565</v>
      </c>
    </row>
    <row r="323" spans="18:26" ht="12">
      <c r="R323" s="13">
        <v>602.8864938696609</v>
      </c>
      <c r="S323" s="13">
        <f t="shared" si="26"/>
        <v>0.0858967700720832</v>
      </c>
      <c r="T323" s="13">
        <f t="shared" si="27"/>
        <v>0.007373719670360207</v>
      </c>
      <c r="U323" s="14">
        <f t="shared" si="28"/>
        <v>-0.13691294995786052</v>
      </c>
      <c r="V323" s="14">
        <f t="shared" si="29"/>
        <v>-1.0087359032798702</v>
      </c>
      <c r="W323" s="14">
        <f t="shared" si="30"/>
        <v>4.791631975094781</v>
      </c>
      <c r="X323" s="14">
        <f t="shared" si="31"/>
        <v>0.5452183134398547</v>
      </c>
      <c r="Y323" s="14">
        <f t="shared" si="32"/>
        <v>-0.002768755528556266</v>
      </c>
      <c r="Z323" s="15">
        <f t="shared" si="33"/>
        <v>4.188432679768349</v>
      </c>
    </row>
    <row r="324" spans="18:26" ht="12">
      <c r="R324" s="13">
        <v>614.944223747054</v>
      </c>
      <c r="S324" s="13">
        <f t="shared" si="26"/>
        <v>0.08761470547352485</v>
      </c>
      <c r="T324" s="13">
        <f t="shared" si="27"/>
        <v>0.007671427359545876</v>
      </c>
      <c r="U324" s="14">
        <f t="shared" si="28"/>
        <v>-0.1313869930920717</v>
      </c>
      <c r="V324" s="14">
        <f t="shared" si="29"/>
        <v>-0.9521298412917361</v>
      </c>
      <c r="W324" s="14">
        <f t="shared" si="30"/>
        <v>5.0278110841845205</v>
      </c>
      <c r="X324" s="14">
        <f t="shared" si="31"/>
        <v>0.5663802298188818</v>
      </c>
      <c r="Y324" s="14">
        <f t="shared" si="32"/>
        <v>-0.002882922451001857</v>
      </c>
      <c r="Z324" s="15">
        <f t="shared" si="33"/>
        <v>4.507791557168593</v>
      </c>
    </row>
    <row r="325" spans="18:26" ht="12">
      <c r="R325" s="13">
        <v>627.2431082219952</v>
      </c>
      <c r="S325" s="13">
        <f t="shared" si="26"/>
        <v>0.08936699958299536</v>
      </c>
      <c r="T325" s="13">
        <f t="shared" si="27"/>
        <v>0.007981146733183203</v>
      </c>
      <c r="U325" s="14">
        <f t="shared" si="28"/>
        <v>-0.12609140534814856</v>
      </c>
      <c r="V325" s="14">
        <f t="shared" si="29"/>
        <v>-0.8993895371057121</v>
      </c>
      <c r="W325" s="14">
        <f t="shared" si="30"/>
        <v>5.277166577662477</v>
      </c>
      <c r="X325" s="14">
        <f t="shared" si="31"/>
        <v>0.5883308097999613</v>
      </c>
      <c r="Y325" s="14">
        <f t="shared" si="32"/>
        <v>-0.0030017591551381173</v>
      </c>
      <c r="Z325" s="15">
        <f t="shared" si="33"/>
        <v>4.83701468585344</v>
      </c>
    </row>
    <row r="326" spans="18:26" ht="12">
      <c r="R326" s="13">
        <v>639.7879703864351</v>
      </c>
      <c r="S326" s="13">
        <f t="shared" si="26"/>
        <v>0.09115433957465527</v>
      </c>
      <c r="T326" s="13">
        <f t="shared" si="27"/>
        <v>0.008303361769156359</v>
      </c>
      <c r="U326" s="14">
        <f t="shared" si="28"/>
        <v>-0.12101600288850989</v>
      </c>
      <c r="V326" s="14">
        <f t="shared" si="29"/>
        <v>-0.8501931741494602</v>
      </c>
      <c r="W326" s="14">
        <f t="shared" si="30"/>
        <v>5.540544465161126</v>
      </c>
      <c r="X326" s="14">
        <f t="shared" si="31"/>
        <v>0.6110970343196627</v>
      </c>
      <c r="Y326" s="14">
        <f t="shared" si="32"/>
        <v>-0.0031254590724261178</v>
      </c>
      <c r="Z326" s="15">
        <f t="shared" si="33"/>
        <v>5.177306863370393</v>
      </c>
    </row>
    <row r="327" spans="18:26" ht="12">
      <c r="R327" s="13">
        <v>652.5837297941638</v>
      </c>
      <c r="S327" s="13">
        <f t="shared" si="26"/>
        <v>0.09297742636614838</v>
      </c>
      <c r="T327" s="13">
        <f t="shared" si="27"/>
        <v>0.00863857589144157</v>
      </c>
      <c r="U327" s="14">
        <f t="shared" si="28"/>
        <v>-0.11615109570845306</v>
      </c>
      <c r="V327" s="14">
        <f t="shared" si="29"/>
        <v>-0.8042505318431452</v>
      </c>
      <c r="W327" s="14">
        <f t="shared" si="30"/>
        <v>5.818848423410728</v>
      </c>
      <c r="X327" s="14">
        <f t="shared" si="31"/>
        <v>0.6347066375172563</v>
      </c>
      <c r="Y327" s="14">
        <f t="shared" si="32"/>
        <v>-0.0032542238471147122</v>
      </c>
      <c r="Z327" s="15">
        <f t="shared" si="33"/>
        <v>5.529899209529271</v>
      </c>
    </row>
    <row r="328" spans="18:26" ht="12">
      <c r="R328" s="13">
        <v>665.635404390047</v>
      </c>
      <c r="S328" s="13">
        <f t="shared" si="26"/>
        <v>0.09483697489347134</v>
      </c>
      <c r="T328" s="13">
        <f t="shared" si="27"/>
        <v>0.00898731274694915</v>
      </c>
      <c r="U328" s="14">
        <f t="shared" si="28"/>
        <v>-0.11148746050272251</v>
      </c>
      <c r="V328" s="14">
        <f t="shared" si="29"/>
        <v>-0.761299465977352</v>
      </c>
      <c r="W328" s="14">
        <f t="shared" si="30"/>
        <v>6.113041233047632</v>
      </c>
      <c r="X328" s="14">
        <f t="shared" si="31"/>
        <v>0.6591881164554634</v>
      </c>
      <c r="Y328" s="14">
        <f t="shared" si="32"/>
        <v>-0.0033882637014626127</v>
      </c>
      <c r="Z328" s="15">
        <f t="shared" si="33"/>
        <v>5.896054159321558</v>
      </c>
    </row>
    <row r="329" spans="18:26" ht="12">
      <c r="R329" s="13">
        <v>678.948112477848</v>
      </c>
      <c r="S329" s="13">
        <f t="shared" si="26"/>
        <v>0.09673371439134075</v>
      </c>
      <c r="T329" s="13">
        <f t="shared" si="27"/>
        <v>0.009350117013027253</v>
      </c>
      <c r="U329" s="14">
        <f t="shared" si="28"/>
        <v>-0.10701631524496946</v>
      </c>
      <c r="V329" s="14">
        <f t="shared" si="29"/>
        <v>-0.7211028207515966</v>
      </c>
      <c r="W329" s="14">
        <f t="shared" si="30"/>
        <v>6.424144557569534</v>
      </c>
      <c r="X329" s="14">
        <f t="shared" si="31"/>
        <v>0.684570740238847</v>
      </c>
      <c r="Y329" s="14">
        <f t="shared" si="32"/>
        <v>-0.0035277978185552783</v>
      </c>
      <c r="Z329" s="15">
        <f t="shared" si="33"/>
        <v>6.277068363993259</v>
      </c>
    </row>
    <row r="330" spans="18:26" ht="12">
      <c r="R330" s="13">
        <v>692.527074727405</v>
      </c>
      <c r="S330" s="13">
        <f t="shared" si="26"/>
        <v>0.09866838867916758</v>
      </c>
      <c r="T330" s="13">
        <f t="shared" si="27"/>
        <v>0.009727555236806698</v>
      </c>
      <c r="U330" s="14">
        <f t="shared" si="28"/>
        <v>-0.10272929535727826</v>
      </c>
      <c r="V330" s="14">
        <f t="shared" si="29"/>
        <v>-0.6834457154469007</v>
      </c>
      <c r="W330" s="14">
        <f t="shared" si="30"/>
        <v>6.7532360175859125</v>
      </c>
      <c r="X330" s="14">
        <f t="shared" si="31"/>
        <v>0.7108845584882175</v>
      </c>
      <c r="Y330" s="14">
        <f t="shared" si="32"/>
        <v>-0.003673054743655424</v>
      </c>
      <c r="Z330" s="15">
        <f t="shared" si="33"/>
        <v>6.674272510526295</v>
      </c>
    </row>
    <row r="331" spans="18:26" ht="12">
      <c r="R331" s="13">
        <v>706.3776162219531</v>
      </c>
      <c r="S331" s="13">
        <f t="shared" si="26"/>
        <v>0.10064175645275093</v>
      </c>
      <c r="T331" s="13">
        <f t="shared" si="27"/>
        <v>0.010120216707608752</v>
      </c>
      <c r="U331" s="14">
        <f t="shared" si="28"/>
        <v>-0.09861843135666959</v>
      </c>
      <c r="V331" s="14">
        <f t="shared" si="29"/>
        <v>-0.6481331566839117</v>
      </c>
      <c r="W331" s="14">
        <f t="shared" si="30"/>
        <v>7.101441970568828</v>
      </c>
      <c r="X331" s="14">
        <f t="shared" si="31"/>
        <v>0.7381604091312397</v>
      </c>
      <c r="Y331" s="14">
        <f t="shared" si="32"/>
        <v>-0.00382427280511477</v>
      </c>
      <c r="Z331" s="15">
        <f t="shared" si="33"/>
        <v>7.0890265188543715</v>
      </c>
    </row>
    <row r="332" spans="18:26" ht="12">
      <c r="R332" s="13">
        <v>720.5051685463922</v>
      </c>
      <c r="S332" s="13">
        <f t="shared" si="26"/>
        <v>0.10265459158180595</v>
      </c>
      <c r="T332" s="13">
        <f t="shared" si="27"/>
        <v>0.010528714363682221</v>
      </c>
      <c r="U332" s="14">
        <f t="shared" si="28"/>
        <v>-0.09467612787441482</v>
      </c>
      <c r="V332" s="14">
        <f t="shared" si="29"/>
        <v>-0.6149879340310065</v>
      </c>
      <c r="W332" s="14">
        <f t="shared" si="30"/>
        <v>7.469923587566242</v>
      </c>
      <c r="X332" s="14">
        <f t="shared" si="31"/>
        <v>0.766429925471737</v>
      </c>
      <c r="Y332" s="14">
        <f t="shared" si="32"/>
        <v>-0.0039817005559195096</v>
      </c>
      <c r="Z332" s="15">
        <f t="shared" si="33"/>
        <v>7.522707750576639</v>
      </c>
    </row>
    <row r="333" spans="18:26" ht="12">
      <c r="R333" s="13">
        <v>734.91527191732</v>
      </c>
      <c r="S333" s="13">
        <f t="shared" si="26"/>
        <v>0.10470768341344205</v>
      </c>
      <c r="T333" s="13">
        <f t="shared" si="27"/>
        <v>0.010953685734581262</v>
      </c>
      <c r="U333" s="14">
        <f t="shared" si="28"/>
        <v>-0.0908951439521104</v>
      </c>
      <c r="V333" s="14">
        <f t="shared" si="29"/>
        <v>-0.5838487625494864</v>
      </c>
      <c r="W333" s="14">
        <f t="shared" si="30"/>
        <v>7.859852584115998</v>
      </c>
      <c r="X333" s="14">
        <f t="shared" si="31"/>
        <v>0.7957255425031979</v>
      </c>
      <c r="Y333" s="14">
        <f t="shared" si="32"/>
        <v>-0.004145597237015242</v>
      </c>
      <c r="Z333" s="15">
        <f t="shared" si="33"/>
        <v>7.976688622880584</v>
      </c>
    </row>
    <row r="334" spans="18:26" ht="12">
      <c r="R334" s="13">
        <v>749.6135773556664</v>
      </c>
      <c r="S334" s="13">
        <f t="shared" si="26"/>
        <v>0.10680183708171091</v>
      </c>
      <c r="T334" s="13">
        <f t="shared" si="27"/>
        <v>0.011395793920542385</v>
      </c>
      <c r="U334" s="14">
        <f t="shared" si="28"/>
        <v>-0.08726857452600711</v>
      </c>
      <c r="V334" s="14">
        <f t="shared" si="29"/>
        <v>-0.5545686408451189</v>
      </c>
      <c r="W334" s="14">
        <f t="shared" si="30"/>
        <v>8.27237110612726</v>
      </c>
      <c r="X334" s="14">
        <f t="shared" si="31"/>
        <v>0.8260805024356124</v>
      </c>
      <c r="Y334" s="14">
        <f t="shared" si="32"/>
        <v>-0.004316233263634395</v>
      </c>
      <c r="Z334" s="15">
        <f t="shared" si="33"/>
        <v>8.452298159928112</v>
      </c>
    </row>
    <row r="335" spans="18:26" ht="12">
      <c r="R335" s="13">
        <v>764.6058489027797</v>
      </c>
      <c r="S335" s="13">
        <f t="shared" si="26"/>
        <v>0.10893787382334512</v>
      </c>
      <c r="T335" s="13">
        <f t="shared" si="27"/>
        <v>0.011855728610267145</v>
      </c>
      <c r="U335" s="14">
        <f t="shared" si="28"/>
        <v>-0.08378983301803089</v>
      </c>
      <c r="V335" s="14">
        <f t="shared" si="29"/>
        <v>-0.5270133974611895</v>
      </c>
      <c r="W335" s="14">
        <f t="shared" si="30"/>
        <v>8.708527494400354</v>
      </c>
      <c r="X335" s="14">
        <f t="shared" si="31"/>
        <v>0.8575288594092116</v>
      </c>
      <c r="Y335" s="14">
        <f t="shared" si="32"/>
        <v>-0.004493890735931316</v>
      </c>
      <c r="Z335" s="15">
        <f t="shared" si="33"/>
        <v>8.950759232594413</v>
      </c>
    </row>
    <row r="336" spans="18:26" ht="12">
      <c r="R336" s="13">
        <v>779.8979658808353</v>
      </c>
      <c r="S336" s="13">
        <f t="shared" si="26"/>
        <v>0.11111663129981203</v>
      </c>
      <c r="T336" s="13">
        <f t="shared" si="27"/>
        <v>0.012334207138566783</v>
      </c>
      <c r="U336" s="14">
        <f t="shared" si="28"/>
        <v>-0.08045263495778698</v>
      </c>
      <c r="V336" s="14">
        <f t="shared" si="29"/>
        <v>-0.5010604021065532</v>
      </c>
      <c r="W336" s="14">
        <f t="shared" si="30"/>
        <v>9.169175543355397</v>
      </c>
      <c r="X336" s="14">
        <f t="shared" si="31"/>
        <v>0.8901054833738584</v>
      </c>
      <c r="Y336" s="14">
        <f t="shared" si="32"/>
        <v>-0.004678863975296821</v>
      </c>
      <c r="Z336" s="15">
        <f t="shared" si="33"/>
        <v>9.473089125689619</v>
      </c>
    </row>
    <row r="337" spans="18:26" ht="12">
      <c r="R337" s="13">
        <v>795.495925198452</v>
      </c>
      <c r="S337" s="13">
        <f t="shared" si="26"/>
        <v>0.11333896392580826</v>
      </c>
      <c r="T337" s="13">
        <f t="shared" si="27"/>
        <v>0.012831975585375804</v>
      </c>
      <c r="U337" s="14">
        <f t="shared" si="28"/>
        <v>-0.07725098256624818</v>
      </c>
      <c r="V337" s="14">
        <f t="shared" si="29"/>
        <v>-0.47659742135036964</v>
      </c>
      <c r="W337" s="14">
        <f t="shared" si="30"/>
        <v>9.654818918315847</v>
      </c>
      <c r="X337" s="14">
        <f t="shared" si="31"/>
        <v>0.923846063118849</v>
      </c>
      <c r="Y337" s="14">
        <f t="shared" si="32"/>
        <v>-0.004871460087854995</v>
      </c>
      <c r="Z337" s="15">
        <f t="shared" si="33"/>
        <v>10.019945117430222</v>
      </c>
    </row>
    <row r="338" spans="18:26" ht="12">
      <c r="R338" s="13">
        <v>811.4058437024211</v>
      </c>
      <c r="S338" s="13">
        <f t="shared" si="26"/>
        <v>0.11560574320432444</v>
      </c>
      <c r="T338" s="13">
        <f t="shared" si="27"/>
        <v>0.013349809917694218</v>
      </c>
      <c r="U338" s="14">
        <f t="shared" si="28"/>
        <v>-0.07417915023631849</v>
      </c>
      <c r="V338" s="14">
        <f t="shared" si="29"/>
        <v>-0.4535216011124561</v>
      </c>
      <c r="W338" s="14">
        <f t="shared" si="30"/>
        <v>10.165374100422856</v>
      </c>
      <c r="X338" s="14">
        <f t="shared" si="31"/>
        <v>0.9587871084448754</v>
      </c>
      <c r="Y338" s="14">
        <f t="shared" si="32"/>
        <v>-0.005071999556684137</v>
      </c>
      <c r="Z338" s="15">
        <f t="shared" si="33"/>
        <v>10.591388457962273</v>
      </c>
    </row>
    <row r="339" spans="18:26" ht="12">
      <c r="R339" s="13">
        <v>827.6339605764695</v>
      </c>
      <c r="S339" s="13">
        <f t="shared" si="26"/>
        <v>0.11791785806841092</v>
      </c>
      <c r="T339" s="13">
        <f t="shared" si="27"/>
        <v>0.013888517176071714</v>
      </c>
      <c r="U339" s="14">
        <f t="shared" si="28"/>
        <v>-0.07123167085095616</v>
      </c>
      <c r="V339" s="14">
        <f t="shared" si="29"/>
        <v>-0.4317385605977151</v>
      </c>
      <c r="W339" s="14">
        <f t="shared" si="30"/>
        <v>10.699814490217662</v>
      </c>
      <c r="X339" s="14">
        <f t="shared" si="31"/>
        <v>0.9949659514777025</v>
      </c>
      <c r="Y339" s="14">
        <f t="shared" si="32"/>
        <v>-0.005280816864488003</v>
      </c>
      <c r="Z339" s="15">
        <f t="shared" si="33"/>
        <v>11.186529393382205</v>
      </c>
    </row>
    <row r="340" spans="18:26" ht="12">
      <c r="R340" s="13">
        <v>844.1866397879988</v>
      </c>
      <c r="S340" s="13">
        <f t="shared" si="26"/>
        <v>0.12027621522977915</v>
      </c>
      <c r="T340" s="13">
        <f t="shared" si="27"/>
        <v>0.014448936707302528</v>
      </c>
      <c r="U340" s="14">
        <f t="shared" si="28"/>
        <v>-0.06840332288357587</v>
      </c>
      <c r="V340" s="14">
        <f t="shared" si="29"/>
        <v>-0.4111615843198493</v>
      </c>
      <c r="W340" s="14">
        <f t="shared" si="30"/>
        <v>11.255646480497848</v>
      </c>
      <c r="X340" s="14">
        <f t="shared" si="31"/>
        <v>1.0324207471320177</v>
      </c>
      <c r="Y340" s="14">
        <f t="shared" si="32"/>
        <v>-0.0054982611484835076</v>
      </c>
      <c r="Z340" s="15">
        <f t="shared" si="33"/>
        <v>11.803004059277958</v>
      </c>
    </row>
    <row r="341" spans="18:26" ht="12">
      <c r="R341" s="13">
        <v>861.0703725837589</v>
      </c>
      <c r="S341" s="13">
        <f t="shared" si="26"/>
        <v>0.12268173953437472</v>
      </c>
      <c r="T341" s="13">
        <f t="shared" si="27"/>
        <v>0.015031941445056258</v>
      </c>
      <c r="U341" s="14">
        <f t="shared" si="28"/>
        <v>-0.06568911822967749</v>
      </c>
      <c r="V341" s="14">
        <f t="shared" si="29"/>
        <v>-0.391710900582261</v>
      </c>
      <c r="W341" s="14">
        <f t="shared" si="30"/>
        <v>11.828160699027261</v>
      </c>
      <c r="X341" s="14">
        <f t="shared" si="31"/>
        <v>1.0711904727437318</v>
      </c>
      <c r="Y341" s="14">
        <f t="shared" si="32"/>
        <v>-0.005724696889435776</v>
      </c>
      <c r="Z341" s="15">
        <f t="shared" si="33"/>
        <v>12.436226456069619</v>
      </c>
    </row>
    <row r="342" spans="18:26" ht="12">
      <c r="R342" s="13">
        <v>878.291780035434</v>
      </c>
      <c r="S342" s="13">
        <f t="shared" si="26"/>
        <v>0.12513537432506222</v>
      </c>
      <c r="T342" s="13">
        <f t="shared" si="27"/>
        <v>0.01563843924022815</v>
      </c>
      <c r="U342" s="14">
        <f t="shared" si="28"/>
        <v>-0.06308429072227284</v>
      </c>
      <c r="V342" s="14">
        <f t="shared" si="29"/>
        <v>-0.37331303626951495</v>
      </c>
      <c r="W342" s="14">
        <f t="shared" si="30"/>
        <v>12.409412450252702</v>
      </c>
      <c r="X342" s="14">
        <f t="shared" si="31"/>
        <v>1.1113149268999498</v>
      </c>
      <c r="Y342" s="14">
        <f t="shared" si="32"/>
        <v>-0.005960504636911335</v>
      </c>
      <c r="Z342" s="15">
        <f t="shared" si="33"/>
        <v>13.078369545523953</v>
      </c>
    </row>
    <row r="343" spans="18:26" ht="12">
      <c r="R343" s="13">
        <v>895.8576156361428</v>
      </c>
      <c r="S343" s="13">
        <f t="shared" si="26"/>
        <v>0.12763808181156347</v>
      </c>
      <c r="T343" s="13">
        <f t="shared" si="27"/>
        <v>0.016269374242851766</v>
      </c>
      <c r="U343" s="14">
        <f t="shared" si="28"/>
        <v>-0.06058428528741899</v>
      </c>
      <c r="V343" s="14">
        <f t="shared" si="29"/>
        <v>-0.35590023908758894</v>
      </c>
      <c r="W343" s="14">
        <f t="shared" si="30"/>
        <v>12.986945819376256</v>
      </c>
      <c r="X343" s="14">
        <f t="shared" si="31"/>
        <v>1.1528347275077815</v>
      </c>
      <c r="Y343" s="14">
        <f t="shared" si="32"/>
        <v>-0.006206081772926808</v>
      </c>
      <c r="Z343" s="15">
        <f t="shared" si="33"/>
        <v>13.717089940736102</v>
      </c>
    </row>
    <row r="344" spans="18:26" ht="12">
      <c r="R344" s="13">
        <v>913.7747679488657</v>
      </c>
      <c r="S344" s="13">
        <f t="shared" si="26"/>
        <v>0.13019084344779475</v>
      </c>
      <c r="T344" s="13">
        <f t="shared" si="27"/>
        <v>0.016925728337477804</v>
      </c>
      <c r="U344" s="14">
        <f t="shared" si="28"/>
        <v>-0.05818474769888127</v>
      </c>
      <c r="V344" s="14">
        <f t="shared" si="29"/>
        <v>-0.33940995950245423</v>
      </c>
      <c r="W344" s="14">
        <f t="shared" si="30"/>
        <v>13.542440402258968</v>
      </c>
      <c r="X344" s="14">
        <f t="shared" si="31"/>
        <v>1.19579130915624</v>
      </c>
      <c r="Y344" s="14">
        <f t="shared" si="32"/>
        <v>-0.006461843316376115</v>
      </c>
      <c r="Z344" s="15">
        <f t="shared" si="33"/>
        <v>14.334175160897496</v>
      </c>
    </row>
    <row r="345" spans="18:26" ht="12">
      <c r="R345" s="13">
        <v>932.050263307843</v>
      </c>
      <c r="S345" s="13">
        <f t="shared" si="26"/>
        <v>0.13279466031675063</v>
      </c>
      <c r="T345" s="13">
        <f t="shared" si="27"/>
        <v>0.01760852263398515</v>
      </c>
      <c r="U345" s="14">
        <f t="shared" si="28"/>
        <v>-0.05588151489429549</v>
      </c>
      <c r="V345" s="14">
        <f t="shared" si="29"/>
        <v>-0.32378438558896505</v>
      </c>
      <c r="W345" s="14">
        <f t="shared" si="30"/>
        <v>14.050789127694124</v>
      </c>
      <c r="X345" s="14">
        <f t="shared" si="31"/>
        <v>1.2402269198395688</v>
      </c>
      <c r="Y345" s="14">
        <f t="shared" si="32"/>
        <v>-0.006728222770741699</v>
      </c>
      <c r="Z345" s="15">
        <f t="shared" si="33"/>
        <v>14.90462192427969</v>
      </c>
    </row>
    <row r="346" spans="18:26" ht="12">
      <c r="R346" s="13">
        <v>950.6912685739999</v>
      </c>
      <c r="S346" s="13">
        <f t="shared" si="26"/>
        <v>0.1354505535230857</v>
      </c>
      <c r="T346" s="13">
        <f t="shared" si="27"/>
        <v>0.018318819015853766</v>
      </c>
      <c r="U346" s="14">
        <f t="shared" si="28"/>
        <v>-0.05367060581756533</v>
      </c>
      <c r="V346" s="14">
        <f t="shared" si="29"/>
        <v>-0.3089700248380254</v>
      </c>
      <c r="W346" s="14">
        <f t="shared" si="30"/>
        <v>14.48058614754585</v>
      </c>
      <c r="X346" s="14">
        <f t="shared" si="31"/>
        <v>1.2861846171255804</v>
      </c>
      <c r="Y346" s="14">
        <f t="shared" si="32"/>
        <v>-0.007005673017810743</v>
      </c>
      <c r="Z346" s="15">
        <f t="shared" si="33"/>
        <v>15.397124460998029</v>
      </c>
    </row>
    <row r="347" spans="18:26" ht="12">
      <c r="R347" s="13">
        <v>969.7050939454799</v>
      </c>
      <c r="S347" s="13">
        <f t="shared" si="26"/>
        <v>0.1381595645935474</v>
      </c>
      <c r="T347" s="13">
        <f t="shared" si="27"/>
        <v>0.0190577217479936</v>
      </c>
      <c r="U347" s="14">
        <f t="shared" si="28"/>
        <v>-0.05154821275500154</v>
      </c>
      <c r="V347" s="14">
        <f t="shared" si="29"/>
        <v>-0.29491732769445633</v>
      </c>
      <c r="W347" s="14">
        <f t="shared" si="30"/>
        <v>14.797300629552048</v>
      </c>
      <c r="X347" s="14">
        <f t="shared" si="31"/>
        <v>1.3337082638687825</v>
      </c>
      <c r="Y347" s="14">
        <f t="shared" si="32"/>
        <v>-0.0072946672602967055</v>
      </c>
      <c r="Z347" s="15">
        <f t="shared" si="33"/>
        <v>15.777248685711076</v>
      </c>
    </row>
    <row r="348" spans="18:26" ht="12">
      <c r="R348" s="13">
        <v>989.0991958243895</v>
      </c>
      <c r="S348" s="13">
        <f t="shared" si="26"/>
        <v>0.14092275588541833</v>
      </c>
      <c r="T348" s="13">
        <f t="shared" si="27"/>
        <v>0.01982637914629027</v>
      </c>
      <c r="U348" s="14">
        <f t="shared" si="28"/>
        <v>-0.049510693134706685</v>
      </c>
      <c r="V348" s="14">
        <f t="shared" si="29"/>
        <v>-0.2815803482298449</v>
      </c>
      <c r="W348" s="14">
        <f t="shared" si="30"/>
        <v>14.96979788922539</v>
      </c>
      <c r="X348" s="14">
        <f t="shared" si="31"/>
        <v>1.382842523585392</v>
      </c>
      <c r="Y348" s="14">
        <f t="shared" si="32"/>
        <v>-0.00759570001649168</v>
      </c>
      <c r="Z348" s="15">
        <f t="shared" si="33"/>
        <v>16.01395367142974</v>
      </c>
    </row>
    <row r="349" spans="18:26" ht="12">
      <c r="R349" s="13">
        <v>1008.8811797408773</v>
      </c>
      <c r="S349" s="13">
        <f t="shared" si="26"/>
        <v>0.1437412110031267</v>
      </c>
      <c r="T349" s="13">
        <f t="shared" si="27"/>
        <v>0.020625985311094615</v>
      </c>
      <c r="U349" s="14">
        <f t="shared" si="28"/>
        <v>-0.047554561760982494</v>
      </c>
      <c r="V349" s="14">
        <f t="shared" si="29"/>
        <v>-0.2689164379033073</v>
      </c>
      <c r="W349" s="14">
        <f t="shared" si="30"/>
        <v>14.978764421693143</v>
      </c>
      <c r="X349" s="14">
        <f t="shared" si="31"/>
        <v>1.4336328556254383</v>
      </c>
      <c r="Y349" s="14">
        <f t="shared" si="32"/>
        <v>-0.007909288170303785</v>
      </c>
      <c r="Z349" s="15">
        <f t="shared" si="33"/>
        <v>16.08801698948399</v>
      </c>
    </row>
    <row r="350" spans="18:26" ht="12">
      <c r="R350" s="13">
        <v>1029.0588033356948</v>
      </c>
      <c r="S350" s="13">
        <f t="shared" si="26"/>
        <v>0.14661603522318925</v>
      </c>
      <c r="T350" s="13">
        <f t="shared" si="27"/>
        <v>0.021457781926952333</v>
      </c>
      <c r="U350" s="14">
        <f t="shared" si="28"/>
        <v>-0.04567648345752673</v>
      </c>
      <c r="V350" s="14">
        <f t="shared" si="29"/>
        <v>-0.25688596884256754</v>
      </c>
      <c r="W350" s="14">
        <f t="shared" si="30"/>
        <v>14.823086317143105</v>
      </c>
      <c r="X350" s="14">
        <f t="shared" si="31"/>
        <v>1.4861255102963407</v>
      </c>
      <c r="Y350" s="14">
        <f t="shared" si="32"/>
        <v>-0.008235972080273157</v>
      </c>
      <c r="Z350" s="15">
        <f t="shared" si="33"/>
        <v>15.998413403059077</v>
      </c>
    </row>
    <row r="351" spans="18:26" ht="12">
      <c r="R351" s="13">
        <v>1049.6399794024087</v>
      </c>
      <c r="S351" s="13">
        <f t="shared" si="26"/>
        <v>0.14954835592765303</v>
      </c>
      <c r="T351" s="13">
        <f t="shared" si="27"/>
        <v>0.022323060130938484</v>
      </c>
      <c r="U351" s="14">
        <f t="shared" si="28"/>
        <v>-0.04387326609482045</v>
      </c>
      <c r="V351" s="14">
        <f t="shared" si="29"/>
        <v>-0.24545208349589842</v>
      </c>
      <c r="W351" s="14">
        <f t="shared" si="30"/>
        <v>14.52024367202656</v>
      </c>
      <c r="X351" s="14">
        <f t="shared" si="31"/>
        <v>1.5403675241121757</v>
      </c>
      <c r="Y351" s="14">
        <f t="shared" si="32"/>
        <v>-0.008576316751472302</v>
      </c>
      <c r="Z351" s="15">
        <f t="shared" si="33"/>
        <v>15.762709529796544</v>
      </c>
    </row>
    <row r="352" spans="18:26" ht="12">
      <c r="R352" s="13">
        <v>1070.632778990457</v>
      </c>
      <c r="S352" s="13">
        <f t="shared" si="26"/>
        <v>0.15253932304620607</v>
      </c>
      <c r="T352" s="13">
        <f t="shared" si="27"/>
        <v>0.023223162452032202</v>
      </c>
      <c r="U352" s="14">
        <f t="shared" si="28"/>
        <v>-0.04214185397891157</v>
      </c>
      <c r="V352" s="14">
        <f t="shared" si="29"/>
        <v>-0.2345804678707708</v>
      </c>
      <c r="W352" s="14">
        <f t="shared" si="30"/>
        <v>14.10045629381769</v>
      </c>
      <c r="X352" s="14">
        <f t="shared" si="31"/>
        <v>1.5964067153634458</v>
      </c>
      <c r="Y352" s="14">
        <f t="shared" si="32"/>
        <v>-0.008930913074428837</v>
      </c>
      <c r="Z352" s="15">
        <f t="shared" si="33"/>
        <v>15.411209774257024</v>
      </c>
    </row>
    <row r="353" spans="18:26" ht="12">
      <c r="R353" s="13">
        <v>1092.045434570266</v>
      </c>
      <c r="S353" s="13">
        <f t="shared" si="26"/>
        <v>0.1555901095071302</v>
      </c>
      <c r="T353" s="13">
        <f t="shared" si="27"/>
        <v>0.024159484824037427</v>
      </c>
      <c r="U353" s="14">
        <f t="shared" si="28"/>
        <v>-0.04047932158030676</v>
      </c>
      <c r="V353" s="14">
        <f t="shared" si="29"/>
        <v>-0.22423914589554528</v>
      </c>
      <c r="W353" s="14">
        <f t="shared" si="30"/>
        <v>13.598258685542433</v>
      </c>
      <c r="X353" s="14">
        <f t="shared" si="31"/>
        <v>1.654291680223258</v>
      </c>
      <c r="Y353" s="14">
        <f t="shared" si="32"/>
        <v>-0.009300379135610104</v>
      </c>
      <c r="Z353" s="15">
        <f t="shared" si="33"/>
        <v>14.97853151915423</v>
      </c>
    </row>
    <row r="354" spans="18:26" ht="12">
      <c r="R354" s="13">
        <v>1113.8863432616713</v>
      </c>
      <c r="S354" s="13">
        <f t="shared" si="26"/>
        <v>0.1587019116972728</v>
      </c>
      <c r="T354" s="13">
        <f t="shared" si="27"/>
        <v>0.025133478674627292</v>
      </c>
      <c r="U354" s="14">
        <f t="shared" si="28"/>
        <v>-0.03888286758296999</v>
      </c>
      <c r="V354" s="14">
        <f t="shared" si="29"/>
        <v>-0.21439829272056699</v>
      </c>
      <c r="W354" s="14">
        <f t="shared" si="30"/>
        <v>13.045636894108252</v>
      </c>
      <c r="X354" s="14">
        <f t="shared" si="31"/>
        <v>1.7140717896274307</v>
      </c>
      <c r="Y354" s="14">
        <f t="shared" si="32"/>
        <v>-0.009685361604289344</v>
      </c>
      <c r="Z354" s="15">
        <f t="shared" si="33"/>
        <v>14.496742161827857</v>
      </c>
    </row>
    <row r="355" spans="18:26" ht="12">
      <c r="R355" s="13">
        <v>1136.1640701269048</v>
      </c>
      <c r="S355" s="13">
        <f t="shared" si="26"/>
        <v>0.16187594993121826</v>
      </c>
      <c r="T355" s="13">
        <f t="shared" si="27"/>
        <v>0.026146653093161686</v>
      </c>
      <c r="U355" s="14">
        <f t="shared" si="28"/>
        <v>-0.03734980923509568</v>
      </c>
      <c r="V355" s="14">
        <f t="shared" si="29"/>
        <v>-0.20503006502138277</v>
      </c>
      <c r="W355" s="14">
        <f t="shared" si="30"/>
        <v>12.46848096891198</v>
      </c>
      <c r="X355" s="14">
        <f t="shared" si="31"/>
        <v>1.7757971871877745</v>
      </c>
      <c r="Y355" s="14">
        <f t="shared" si="32"/>
        <v>-0.010086537201054568</v>
      </c>
      <c r="Z355" s="15">
        <f t="shared" si="33"/>
        <v>13.99181174464222</v>
      </c>
    </row>
    <row r="356" spans="18:26" ht="12">
      <c r="R356" s="13">
        <v>1158.8873515294429</v>
      </c>
      <c r="S356" s="13">
        <f t="shared" si="26"/>
        <v>0.16511346892984263</v>
      </c>
      <c r="T356" s="13">
        <f t="shared" si="27"/>
        <v>0.027200577079999566</v>
      </c>
      <c r="U356" s="14">
        <f t="shared" si="28"/>
        <v>-0.03587757698404204</v>
      </c>
      <c r="V356" s="14">
        <f t="shared" si="29"/>
        <v>-0.19610844658292237</v>
      </c>
      <c r="W356" s="14">
        <f t="shared" si="30"/>
        <v>11.88585554567322</v>
      </c>
      <c r="X356" s="14">
        <f t="shared" si="31"/>
        <v>1.839518788419726</v>
      </c>
      <c r="Y356" s="14">
        <f t="shared" si="32"/>
        <v>-0.010504614253585398</v>
      </c>
      <c r="Z356" s="15">
        <f t="shared" si="33"/>
        <v>13.482883696272395</v>
      </c>
    </row>
    <row r="357" spans="18:26" ht="12">
      <c r="R357" s="13">
        <v>1182.0650985600319</v>
      </c>
      <c r="S357" s="13">
        <f t="shared" si="26"/>
        <v>0.16841573830843948</v>
      </c>
      <c r="T357" s="13">
        <f t="shared" si="27"/>
        <v>0.02829688188010029</v>
      </c>
      <c r="U357" s="14">
        <f t="shared" si="28"/>
        <v>-0.03446370937940202</v>
      </c>
      <c r="V357" s="14">
        <f t="shared" si="29"/>
        <v>-0.18760910763373673</v>
      </c>
      <c r="W357" s="14">
        <f t="shared" si="30"/>
        <v>11.310819969983012</v>
      </c>
      <c r="X357" s="14">
        <f t="shared" si="31"/>
        <v>1.9052882815871302</v>
      </c>
      <c r="Y357" s="14">
        <f t="shared" si="32"/>
        <v>-0.010940334345826308</v>
      </c>
      <c r="Z357" s="15">
        <f t="shared" si="33"/>
        <v>12.983095100211177</v>
      </c>
    </row>
    <row r="358" spans="18:26" ht="12">
      <c r="R358" s="13">
        <v>1205.7064005312325</v>
      </c>
      <c r="S358" s="13">
        <f t="shared" si="26"/>
        <v>0.17178405307460828</v>
      </c>
      <c r="T358" s="13">
        <f t="shared" si="27"/>
        <v>0.02943726340378014</v>
      </c>
      <c r="U358" s="14">
        <f t="shared" si="28"/>
        <v>-0.033105848229006085</v>
      </c>
      <c r="V358" s="14">
        <f t="shared" si="29"/>
        <v>-0.17950927656709936</v>
      </c>
      <c r="W358" s="14">
        <f t="shared" si="30"/>
        <v>10.75176613524026</v>
      </c>
      <c r="X358" s="14">
        <f t="shared" si="31"/>
        <v>1.9731581304883532</v>
      </c>
      <c r="Y358" s="14">
        <f t="shared" si="32"/>
        <v>-0.011394474067149218</v>
      </c>
      <c r="Z358" s="15">
        <f t="shared" si="33"/>
        <v>12.50091466686536</v>
      </c>
    </row>
    <row r="359" spans="18:26" ht="12">
      <c r="R359" s="13">
        <v>1229.8205285418571</v>
      </c>
      <c r="S359" s="13">
        <f t="shared" si="26"/>
        <v>0.17521973413610042</v>
      </c>
      <c r="T359" s="13">
        <f t="shared" si="27"/>
        <v>0.030623484737562153</v>
      </c>
      <c r="U359" s="14">
        <f t="shared" si="28"/>
        <v>-0.031801733993610526</v>
      </c>
      <c r="V359" s="14">
        <f t="shared" si="29"/>
        <v>-0.1717876228331825</v>
      </c>
      <c r="W359" s="14">
        <f t="shared" si="30"/>
        <v>10.213716737172277</v>
      </c>
      <c r="X359" s="14">
        <f t="shared" si="31"/>
        <v>2.0431815795284844</v>
      </c>
      <c r="Y359" s="14">
        <f t="shared" si="32"/>
        <v>-0.011867846868653054</v>
      </c>
      <c r="Z359" s="15">
        <f t="shared" si="33"/>
        <v>12.041441113005316</v>
      </c>
    </row>
    <row r="360" spans="18:26" ht="12">
      <c r="R360" s="13">
        <v>1254.4169391126943</v>
      </c>
      <c r="S360" s="13">
        <f t="shared" si="26"/>
        <v>0.17872412881882246</v>
      </c>
      <c r="T360" s="13">
        <f t="shared" si="27"/>
        <v>0.0318573787481288</v>
      </c>
      <c r="U360" s="14">
        <f t="shared" si="28"/>
        <v>-0.030549201407044535</v>
      </c>
      <c r="V360" s="14">
        <f t="shared" si="29"/>
        <v>-0.16442414991746546</v>
      </c>
      <c r="W360" s="14">
        <f t="shared" si="30"/>
        <v>9.699376653783428</v>
      </c>
      <c r="X360" s="14">
        <f t="shared" si="31"/>
        <v>2.115412661442205</v>
      </c>
      <c r="Y360" s="14">
        <f t="shared" si="32"/>
        <v>-0.0123613050343363</v>
      </c>
      <c r="Z360" s="15">
        <f t="shared" si="33"/>
        <v>11.607454658866788</v>
      </c>
    </row>
    <row r="361" spans="18:26" ht="12">
      <c r="R361" s="13">
        <v>1279.5052778949482</v>
      </c>
      <c r="S361" s="13">
        <f t="shared" si="26"/>
        <v>0.1822986113951989</v>
      </c>
      <c r="T361" s="13">
        <f t="shared" si="27"/>
        <v>0.03314085078245657</v>
      </c>
      <c r="U361" s="14">
        <f t="shared" si="28"/>
        <v>-0.029346175309349576</v>
      </c>
      <c r="V361" s="14">
        <f t="shared" si="29"/>
        <v>-0.15740009743555206</v>
      </c>
      <c r="W361" s="14">
        <f t="shared" si="30"/>
        <v>9.209910744877902</v>
      </c>
      <c r="X361" s="14">
        <f t="shared" si="31"/>
        <v>2.1899062080502434</v>
      </c>
      <c r="Y361" s="14">
        <f t="shared" si="32"/>
        <v>-0.012875741775533633</v>
      </c>
      <c r="Z361" s="15">
        <f t="shared" si="33"/>
        <v>11.200194938407709</v>
      </c>
    </row>
    <row r="362" spans="18:26" ht="12">
      <c r="R362" s="13">
        <v>1305.0953834528473</v>
      </c>
      <c r="S362" s="13">
        <f t="shared" si="26"/>
        <v>0.1859445836231029</v>
      </c>
      <c r="T362" s="13">
        <f t="shared" si="27"/>
        <v>0.034475881467281456</v>
      </c>
      <c r="U362" s="14">
        <f t="shared" si="28"/>
        <v>-0.028190666681283005</v>
      </c>
      <c r="V362" s="14">
        <f t="shared" si="29"/>
        <v>-0.1506978514768491</v>
      </c>
      <c r="W362" s="14">
        <f t="shared" si="30"/>
        <v>8.745490470824102</v>
      </c>
      <c r="X362" s="14">
        <f t="shared" si="31"/>
        <v>2.266717864449311</v>
      </c>
      <c r="Y362" s="14">
        <f t="shared" si="32"/>
        <v>-0.013412093457711105</v>
      </c>
      <c r="Z362" s="15">
        <f t="shared" si="33"/>
        <v>10.81990772365757</v>
      </c>
    </row>
    <row r="363" spans="18:26" ht="12">
      <c r="R363" s="13">
        <v>1331.1972911219043</v>
      </c>
      <c r="S363" s="13">
        <f t="shared" si="26"/>
        <v>0.189663475295565</v>
      </c>
      <c r="T363" s="13">
        <f t="shared" si="27"/>
        <v>0.03586452961111027</v>
      </c>
      <c r="U363" s="14">
        <f t="shared" si="28"/>
        <v>-0.027080768869183203</v>
      </c>
      <c r="V363" s="14">
        <f t="shared" si="29"/>
        <v>-0.1443008624198754</v>
      </c>
      <c r="W363" s="14">
        <f t="shared" si="30"/>
        <v>8.305666226871878</v>
      </c>
      <c r="X363" s="14">
        <f t="shared" si="31"/>
        <v>2.345904107050239</v>
      </c>
      <c r="Y363" s="14">
        <f t="shared" si="32"/>
        <v>-0.0139713419694929</v>
      </c>
      <c r="Z363" s="15">
        <f t="shared" si="33"/>
        <v>10.466217360663565</v>
      </c>
    </row>
    <row r="364" spans="18:26" ht="12">
      <c r="R364" s="13">
        <v>1357.8212369443424</v>
      </c>
      <c r="S364" s="13">
        <f t="shared" si="26"/>
        <v>0.1934567448014763</v>
      </c>
      <c r="T364" s="13">
        <f t="shared" si="27"/>
        <v>0.037308935212058705</v>
      </c>
      <c r="U364" s="14">
        <f t="shared" si="28"/>
        <v>-0.026014653989921754</v>
      </c>
      <c r="V364" s="14">
        <f t="shared" si="29"/>
        <v>-0.13819356952251738</v>
      </c>
      <c r="W364" s="14">
        <f t="shared" si="30"/>
        <v>7.88961582379665</v>
      </c>
      <c r="X364" s="14">
        <f t="shared" si="31"/>
        <v>2.4275222658915423</v>
      </c>
      <c r="Y364" s="14">
        <f t="shared" si="32"/>
        <v>-0.014554517244641296</v>
      </c>
      <c r="Z364" s="15">
        <f t="shared" si="33"/>
        <v>10.138375348931113</v>
      </c>
    </row>
    <row r="365" spans="18:26" ht="12">
      <c r="R365" s="13">
        <v>1384.9776616832294</v>
      </c>
      <c r="S365" s="13">
        <f t="shared" si="26"/>
        <v>0.19732587969750584</v>
      </c>
      <c r="T365" s="13">
        <f t="shared" si="27"/>
        <v>0.038811322574859114</v>
      </c>
      <c r="U365" s="14">
        <f t="shared" si="28"/>
        <v>-0.02499056950647116</v>
      </c>
      <c r="V365" s="14">
        <f t="shared" si="29"/>
        <v>-0.1323613316615102</v>
      </c>
      <c r="W365" s="14">
        <f t="shared" si="30"/>
        <v>7.49630782613492</v>
      </c>
      <c r="X365" s="14">
        <f t="shared" si="31"/>
        <v>2.5116305516653163</v>
      </c>
      <c r="Y365" s="14">
        <f t="shared" si="32"/>
        <v>-0.015162699948668923</v>
      </c>
      <c r="Z365" s="15">
        <f t="shared" si="33"/>
        <v>9.835423776683587</v>
      </c>
    </row>
    <row r="366" spans="18:26" ht="12">
      <c r="R366" s="13">
        <v>1412.677214916894</v>
      </c>
      <c r="S366" s="13">
        <f t="shared" si="26"/>
        <v>0.20127239729145593</v>
      </c>
      <c r="T366" s="13">
        <f t="shared" si="27"/>
        <v>0.04037400354043989</v>
      </c>
      <c r="U366" s="14">
        <f t="shared" si="28"/>
        <v>-0.024006834964779955</v>
      </c>
      <c r="V366" s="14">
        <f t="shared" si="29"/>
        <v>-0.1267903636591292</v>
      </c>
      <c r="W366" s="14">
        <f t="shared" si="30"/>
        <v>7.124607484784338</v>
      </c>
      <c r="X366" s="14">
        <f t="shared" si="31"/>
        <v>2.5982880878985464</v>
      </c>
      <c r="Y366" s="14">
        <f t="shared" si="32"/>
        <v>-0.015797024342747434</v>
      </c>
      <c r="Z366" s="15">
        <f t="shared" si="33"/>
        <v>9.556301349716227</v>
      </c>
    </row>
    <row r="367" spans="18:26" ht="12">
      <c r="R367" s="13">
        <v>1440.9307592152318</v>
      </c>
      <c r="S367" s="13">
        <f t="shared" si="26"/>
        <v>0.20529784523728503</v>
      </c>
      <c r="T367" s="13">
        <f t="shared" si="27"/>
        <v>0.04199938083153479</v>
      </c>
      <c r="U367" s="14">
        <f t="shared" si="28"/>
        <v>-0.02306183888369162</v>
      </c>
      <c r="V367" s="14">
        <f t="shared" si="29"/>
        <v>-0.12146767769125688</v>
      </c>
      <c r="W367" s="14">
        <f t="shared" si="30"/>
        <v>6.773344417892961</v>
      </c>
      <c r="X367" s="14">
        <f t="shared" si="31"/>
        <v>2.687554948735345</v>
      </c>
      <c r="Y367" s="14">
        <f t="shared" si="32"/>
        <v>-0.016458681338760606</v>
      </c>
      <c r="Z367" s="15">
        <f t="shared" si="33"/>
        <v>9.299911168714598</v>
      </c>
    </row>
    <row r="368" spans="18:26" ht="12">
      <c r="R368" s="13">
        <v>1469.7493743995365</v>
      </c>
      <c r="S368" s="13">
        <f t="shared" si="26"/>
        <v>0.20940380214203075</v>
      </c>
      <c r="T368" s="13">
        <f t="shared" si="27"/>
        <v>0.04368995151783039</v>
      </c>
      <c r="U368" s="14">
        <f t="shared" si="28"/>
        <v>-0.02215403578972186</v>
      </c>
      <c r="V368" s="14">
        <f t="shared" si="29"/>
        <v>-0.1163810293215235</v>
      </c>
      <c r="W368" s="14">
        <f t="shared" si="30"/>
        <v>6.441354998589226</v>
      </c>
      <c r="X368" s="14">
        <f t="shared" si="31"/>
        <v>2.7794922027631657</v>
      </c>
      <c r="Y368" s="14">
        <f t="shared" si="32"/>
        <v>-0.01714892176054361</v>
      </c>
      <c r="Z368" s="15">
        <f t="shared" si="33"/>
        <v>9.065163214480602</v>
      </c>
    </row>
    <row r="369" spans="18:26" ht="12">
      <c r="R369" s="13">
        <v>1499.144361887527</v>
      </c>
      <c r="S369" s="13">
        <f t="shared" si="26"/>
        <v>0.21359187818487135</v>
      </c>
      <c r="T369" s="13">
        <f t="shared" si="27"/>
        <v>0.04544831060420748</v>
      </c>
      <c r="U369" s="14">
        <f t="shared" si="28"/>
        <v>-0.02128194338931877</v>
      </c>
      <c r="V369" s="14">
        <f t="shared" si="29"/>
        <v>-0.11151886775092379</v>
      </c>
      <c r="W369" s="14">
        <f t="shared" si="30"/>
        <v>6.127508117373569</v>
      </c>
      <c r="X369" s="14">
        <f t="shared" si="31"/>
        <v>2.874161963318447</v>
      </c>
      <c r="Y369" s="14">
        <f t="shared" si="32"/>
        <v>-0.017869059827761546</v>
      </c>
      <c r="Z369" s="15">
        <f t="shared" si="33"/>
        <v>8.851000209724011</v>
      </c>
    </row>
    <row r="370" spans="18:26" ht="12">
      <c r="R370" s="13">
        <v>1529.1272491252778</v>
      </c>
      <c r="S370" s="13">
        <f t="shared" si="26"/>
        <v>0.2178637157485688</v>
      </c>
      <c r="T370" s="13">
        <f t="shared" si="27"/>
        <v>0.04727715474567127</v>
      </c>
      <c r="U370" s="14">
        <f t="shared" si="28"/>
        <v>-0.0204441398714188</v>
      </c>
      <c r="V370" s="14">
        <f t="shared" si="29"/>
        <v>-0.10687028991248582</v>
      </c>
      <c r="W370" s="14">
        <f t="shared" si="30"/>
        <v>5.830720081256178</v>
      </c>
      <c r="X370" s="14">
        <f t="shared" si="31"/>
        <v>2.9716274456930805</v>
      </c>
      <c r="Y370" s="14">
        <f t="shared" si="32"/>
        <v>-0.01862047688034263</v>
      </c>
      <c r="Z370" s="15">
        <f t="shared" si="33"/>
        <v>8.65641262028501</v>
      </c>
    </row>
    <row r="371" spans="18:26" ht="12">
      <c r="R371" s="13">
        <v>1559.7097941077834</v>
      </c>
      <c r="S371" s="13">
        <f t="shared" si="26"/>
        <v>0.2222209900635402</v>
      </c>
      <c r="T371" s="13">
        <f t="shared" si="27"/>
        <v>0.049179286092599646</v>
      </c>
      <c r="U371" s="14">
        <f t="shared" si="28"/>
        <v>-0.01963926133367977</v>
      </c>
      <c r="V371" s="14">
        <f t="shared" si="29"/>
        <v>-0.1024249980763301</v>
      </c>
      <c r="W371" s="14">
        <f t="shared" si="30"/>
        <v>5.549962467458659</v>
      </c>
      <c r="X371" s="14">
        <f t="shared" si="31"/>
        <v>3.071953031641735</v>
      </c>
      <c r="Y371" s="14">
        <f t="shared" si="32"/>
        <v>-0.019404625363118377</v>
      </c>
      <c r="Z371" s="15">
        <f t="shared" si="33"/>
        <v>8.480446614327267</v>
      </c>
    </row>
    <row r="372" spans="18:26" ht="12">
      <c r="R372" s="13">
        <v>1590.9039899899392</v>
      </c>
      <c r="S372" s="13">
        <f aca="true" t="shared" si="34" ref="S372:S435">2*PI()*R372/44100</f>
        <v>0.226665409864811</v>
      </c>
      <c r="T372" s="13">
        <f aca="true" t="shared" si="35" ref="T372:T435">4*(SIN(S372/2))^2</f>
        <v>0.05115761626996434</v>
      </c>
      <c r="U372" s="14">
        <f aca="true" t="shared" si="36" ref="U372:U435">10*LOG10(($G$116+$G$117+$G$118)^2+($G$116*$G$118*T372-($G$117*($G$116+$G$118)+4*$G$116*$G$118))*T372)-10*LOG10((1+$G$119+$G$120)^2+(1*$G$120*T372-($G$119*(1+$G$120)+4*1*$G$120))*T372)</f>
        <v>-0.0188659993261453</v>
      </c>
      <c r="V372" s="14">
        <f aca="true" t="shared" si="37" ref="V372:V435">10*LOG10(($G$121+$G$122+$G$123)^2+($G$121*$G$123*$T372-($G$122*($G$121+$G$123)+4*$G$121*$G$123))*$T372)-10*LOG10((1+$G$124+$G$125)^2+(1*$G$125*$T372-($G$124*(1+$G$125)+4*1*$G$125))*$T372)</f>
        <v>-0.0981732606626835</v>
      </c>
      <c r="W372" s="14">
        <f aca="true" t="shared" si="38" ref="W372:W435">10*LOG10(($G$126+$G$127+$G$128)^2+($G$126*$G$128*$T372-($G$127*($G$126+$G$128)+4*$G$126*$G$128))*$T372)-10*LOG10((1+$G$129+$G$130)^2+(1*$G$130*$T372-($G$129*(1+$G$130)+4*1*$G$130))*$T372)</f>
        <v>5.284265456364665</v>
      </c>
      <c r="X372" s="14">
        <f aca="true" t="shared" si="39" ref="X372:X435">10*LOG10(($G$131+$G$132+$G$133)^2+($G$131*$G$133*$T372-($G$132*($G$131+$G$133)+4*$G$131*$G$133))*$T372)-10*LOG10((1+$G$134+$G$135)^2+(1*$G$135*$T372-($G$134*(1+$G$135)+4*1*$G$135))*$T372)</f>
        <v>3.1752043415601445</v>
      </c>
      <c r="Y372" s="14">
        <f aca="true" t="shared" si="40" ref="Y372:Y435">10*LOG10(($G$136+$G$137+$G$138)^2+($G$136*$G$138*$T372-($G$137*($G$136+$G$138)+4*$G$136*$G$138))*$T372)-10*LOG10((1+$G$139+$G$140)^2+(1*$G$140*$T372-($G$139*(1+$G$140)+4*1*$G$140))*$T372)</f>
        <v>-0.020223033092072296</v>
      </c>
      <c r="Z372" s="15">
        <f aca="true" t="shared" si="41" ref="Z372:Z435">U372+V372+W372+X372+Y372</f>
        <v>8.322207504843908</v>
      </c>
    </row>
    <row r="373" spans="18:26" ht="12">
      <c r="R373" s="13">
        <v>1622.722069789738</v>
      </c>
      <c r="S373" s="13">
        <f t="shared" si="34"/>
        <v>0.23119871806210723</v>
      </c>
      <c r="T373" s="13">
        <f t="shared" si="35"/>
        <v>0.053215170494197626</v>
      </c>
      <c r="U373" s="14">
        <f t="shared" si="36"/>
        <v>-0.018123098506290347</v>
      </c>
      <c r="V373" s="14">
        <f t="shared" si="37"/>
        <v>-0.09410587598888398</v>
      </c>
      <c r="W373" s="14">
        <f t="shared" si="38"/>
        <v>5.032718310477289</v>
      </c>
      <c r="X373" s="14">
        <f t="shared" si="39"/>
        <v>3.2814483146643205</v>
      </c>
      <c r="Y373" s="14">
        <f t="shared" si="40"/>
        <v>-0.021077307825724922</v>
      </c>
      <c r="Z373" s="15">
        <f t="shared" si="41"/>
        <v>8.180860342820711</v>
      </c>
    </row>
    <row r="374" spans="18:26" ht="12">
      <c r="R374" s="13">
        <v>1655.176511185533</v>
      </c>
      <c r="S374" s="13">
        <f t="shared" si="34"/>
        <v>0.23582269242334938</v>
      </c>
      <c r="T374" s="13">
        <f t="shared" si="35"/>
        <v>0.05535509183138445</v>
      </c>
      <c r="U374" s="14">
        <f t="shared" si="36"/>
        <v>-0.017409354400054866</v>
      </c>
      <c r="V374" s="14">
        <f t="shared" si="37"/>
        <v>-0.0902141387025317</v>
      </c>
      <c r="W374" s="14">
        <f t="shared" si="38"/>
        <v>4.794468097235143</v>
      </c>
      <c r="X374" s="14">
        <f t="shared" si="39"/>
        <v>3.390753297448665</v>
      </c>
      <c r="Y374" s="14">
        <f t="shared" si="40"/>
        <v>-0.021969142167362232</v>
      </c>
      <c r="Z374" s="15">
        <f t="shared" si="41"/>
        <v>8.055628759413858</v>
      </c>
    </row>
    <row r="375" spans="18:26" ht="12">
      <c r="R375" s="13">
        <v>1688.2800414092437</v>
      </c>
      <c r="S375" s="13">
        <f t="shared" si="34"/>
        <v>0.24053914627181644</v>
      </c>
      <c r="T375" s="13">
        <f t="shared" si="35"/>
        <v>0.05758064560045697</v>
      </c>
      <c r="U375" s="14">
        <f t="shared" si="36"/>
        <v>-0.01672361126343347</v>
      </c>
      <c r="V375" s="14">
        <f t="shared" si="37"/>
        <v>-0.08648980867569733</v>
      </c>
      <c r="W375" s="14">
        <f t="shared" si="38"/>
        <v>4.568717376109973</v>
      </c>
      <c r="X375" s="14">
        <f t="shared" si="39"/>
        <v>3.5031891406345474</v>
      </c>
      <c r="Y375" s="14">
        <f t="shared" si="40"/>
        <v>-0.022900318826360788</v>
      </c>
      <c r="Z375" s="15">
        <f t="shared" si="41"/>
        <v>7.945792777979029</v>
      </c>
    </row>
    <row r="376" spans="18:26" ht="12">
      <c r="R376" s="13">
        <v>1722.0456422374286</v>
      </c>
      <c r="S376" s="13">
        <f t="shared" si="34"/>
        <v>0.24534992919725276</v>
      </c>
      <c r="T376" s="13">
        <f t="shared" si="35"/>
        <v>0.05989522392505259</v>
      </c>
      <c r="U376" s="14">
        <f t="shared" si="36"/>
        <v>-0.016064760039711246</v>
      </c>
      <c r="V376" s="14">
        <f t="shared" si="37"/>
        <v>-0.08292508215625105</v>
      </c>
      <c r="W376" s="14">
        <f t="shared" si="38"/>
        <v>4.354721319834923</v>
      </c>
      <c r="X376" s="14">
        <f t="shared" si="39"/>
        <v>3.6188273047378203</v>
      </c>
      <c r="Y376" s="14">
        <f t="shared" si="40"/>
        <v>-0.02387271626959242</v>
      </c>
      <c r="Z376" s="15">
        <f t="shared" si="41"/>
        <v>7.850686066107189</v>
      </c>
    </row>
    <row r="377" spans="18:26" ht="12">
      <c r="R377" s="13">
        <v>1756.4865550821773</v>
      </c>
      <c r="S377" s="13">
        <f t="shared" si="34"/>
        <v>0.2502569277811978</v>
      </c>
      <c r="T377" s="13">
        <f t="shared" si="35"/>
        <v>0.062302350437668144</v>
      </c>
      <c r="U377" s="14">
        <f t="shared" si="36"/>
        <v>-0.015431736407677477</v>
      </c>
      <c r="V377" s="14">
        <f t="shared" si="37"/>
        <v>-0.07951256499082149</v>
      </c>
      <c r="W377" s="14">
        <f t="shared" si="38"/>
        <v>4.1517845731945435</v>
      </c>
      <c r="X377" s="14">
        <f t="shared" si="39"/>
        <v>3.7377409742800074</v>
      </c>
      <c r="Y377" s="14">
        <f t="shared" si="40"/>
        <v>-0.024888314796997157</v>
      </c>
      <c r="Z377" s="15">
        <f t="shared" si="41"/>
        <v>7.769692931279055</v>
      </c>
    </row>
    <row r="378" spans="18:26" ht="12">
      <c r="R378" s="13">
        <v>1791.6162861838209</v>
      </c>
      <c r="S378" s="13">
        <f t="shared" si="34"/>
        <v>0.2552620663368218</v>
      </c>
      <c r="T378" s="13">
        <f t="shared" si="35"/>
        <v>0.06480568513969699</v>
      </c>
      <c r="U378" s="14">
        <f t="shared" si="36"/>
        <v>-0.014823518916347922</v>
      </c>
      <c r="V378" s="14">
        <f t="shared" si="37"/>
        <v>-0.07624524775081554</v>
      </c>
      <c r="W378" s="14">
        <f t="shared" si="38"/>
        <v>3.959258042333161</v>
      </c>
      <c r="X378" s="14">
        <f t="shared" si="39"/>
        <v>3.8600051805397637</v>
      </c>
      <c r="Y378" s="14">
        <f t="shared" si="40"/>
        <v>-0.025949203078805105</v>
      </c>
      <c r="Z378" s="15">
        <f t="shared" si="41"/>
        <v>7.702245253126956</v>
      </c>
    </row>
    <row r="379" spans="18:26" ht="12">
      <c r="R379" s="13">
        <v>1827.4486119074973</v>
      </c>
      <c r="S379" s="13">
        <f t="shared" si="34"/>
        <v>0.2603673076635582</v>
      </c>
      <c r="T379" s="13">
        <f t="shared" si="35"/>
        <v>0.06740902942087536</v>
      </c>
      <c r="U379" s="14">
        <f t="shared" si="36"/>
        <v>-0.014239127202010593</v>
      </c>
      <c r="V379" s="14">
        <f t="shared" si="37"/>
        <v>-0.0731164826081745</v>
      </c>
      <c r="W379" s="14">
        <f t="shared" si="38"/>
        <v>3.776535734333251</v>
      </c>
      <c r="X379" s="14">
        <f t="shared" si="39"/>
        <v>3.9856969325832416</v>
      </c>
      <c r="Y379" s="14">
        <f t="shared" si="40"/>
        <v>-0.027057585195684908</v>
      </c>
      <c r="Z379" s="15">
        <f t="shared" si="41"/>
        <v>7.647819471910623</v>
      </c>
    </row>
    <row r="380" spans="18:26" ht="12">
      <c r="R380" s="13">
        <v>1863.9975841456471</v>
      </c>
      <c r="S380" s="13">
        <f t="shared" si="34"/>
        <v>0.2655746538168294</v>
      </c>
      <c r="T380" s="13">
        <f t="shared" si="35"/>
        <v>0.07011633124158385</v>
      </c>
      <c r="U380" s="14">
        <f t="shared" si="36"/>
        <v>-0.013677620283633729</v>
      </c>
      <c r="V380" s="14">
        <f t="shared" si="37"/>
        <v>-0.07011996182113478</v>
      </c>
      <c r="W380" s="14">
        <f t="shared" si="38"/>
        <v>3.6030517184879685</v>
      </c>
      <c r="X380" s="14">
        <f t="shared" si="39"/>
        <v>4.114895356117957</v>
      </c>
      <c r="Y380" s="14">
        <f t="shared" si="40"/>
        <v>-0.028215788227363703</v>
      </c>
      <c r="Z380" s="15">
        <f t="shared" si="41"/>
        <v>7.605933704273793</v>
      </c>
    </row>
    <row r="381" spans="18:26" ht="12">
      <c r="R381" s="13">
        <v>1901.27753582856</v>
      </c>
      <c r="S381" s="13">
        <f t="shared" si="34"/>
        <v>0.2708861468931659</v>
      </c>
      <c r="T381" s="13">
        <f t="shared" si="35"/>
        <v>0.07293169048134765</v>
      </c>
      <c r="U381" s="14">
        <f t="shared" si="36"/>
        <v>-0.013138094932877209</v>
      </c>
      <c r="V381" s="14">
        <f t="shared" si="37"/>
        <v>-0.06724969770259648</v>
      </c>
      <c r="W381" s="14">
        <f t="shared" si="38"/>
        <v>3.4382772489934936</v>
      </c>
      <c r="X381" s="14">
        <f t="shared" si="39"/>
        <v>4.247681839476281</v>
      </c>
      <c r="Y381" s="14">
        <f t="shared" si="40"/>
        <v>-0.029426270439939728</v>
      </c>
      <c r="Z381" s="15">
        <f t="shared" si="41"/>
        <v>7.576145025394362</v>
      </c>
    </row>
    <row r="382" spans="18:26" ht="12">
      <c r="R382" s="13">
        <v>1939.3030865451312</v>
      </c>
      <c r="S382" s="13">
        <f t="shared" si="34"/>
        <v>0.2763038698310293</v>
      </c>
      <c r="T382" s="13">
        <f t="shared" si="35"/>
        <v>0.0758593644567556</v>
      </c>
      <c r="U382" s="14">
        <f t="shared" si="36"/>
        <v>-0.01261968411513692</v>
      </c>
      <c r="V382" s="14">
        <f t="shared" si="37"/>
        <v>-0.06450000395504674</v>
      </c>
      <c r="W382" s="14">
        <f t="shared" si="38"/>
        <v>3.2817180682078195</v>
      </c>
      <c r="X382" s="14">
        <f t="shared" si="39"/>
        <v>4.384140185742282</v>
      </c>
      <c r="Y382" s="14">
        <f t="shared" si="40"/>
        <v>-0.030691630127416936</v>
      </c>
      <c r="Z382" s="15">
        <f t="shared" si="41"/>
        <v>7.558046935752501</v>
      </c>
    </row>
    <row r="383" spans="18:26" ht="12">
      <c r="R383" s="13">
        <v>1978.089148276034</v>
      </c>
      <c r="S383" s="13">
        <f t="shared" si="34"/>
        <v>0.28182994722764987</v>
      </c>
      <c r="T383" s="13">
        <f t="shared" si="35"/>
        <v>0.07890377361186741</v>
      </c>
      <c r="U383" s="14">
        <f t="shared" si="36"/>
        <v>-0.012121555498389114</v>
      </c>
      <c r="V383" s="14">
        <f t="shared" si="37"/>
        <v>-0.061865478265882956</v>
      </c>
      <c r="W383" s="14">
        <f t="shared" si="38"/>
        <v>3.132911896475452</v>
      </c>
      <c r="X383" s="14">
        <f t="shared" si="39"/>
        <v>4.524356769676593</v>
      </c>
      <c r="Y383" s="14">
        <f t="shared" si="40"/>
        <v>-0.03201461516885873</v>
      </c>
      <c r="Z383" s="15">
        <f t="shared" si="41"/>
        <v>7.551267017218914</v>
      </c>
    </row>
    <row r="384" spans="18:26" ht="12">
      <c r="R384" s="13">
        <v>2017.6509312415546</v>
      </c>
      <c r="S384" s="13">
        <f t="shared" si="34"/>
        <v>0.28746654617220285</v>
      </c>
      <c r="T384" s="13">
        <f t="shared" si="35"/>
        <v>0.0820695073840013</v>
      </c>
      <c r="U384" s="14">
        <f t="shared" si="36"/>
        <v>-0.011642910026395725</v>
      </c>
      <c r="V384" s="14">
        <f t="shared" si="37"/>
        <v>-0.05934098606619642</v>
      </c>
      <c r="W384" s="14">
        <f t="shared" si="38"/>
        <v>2.9914261063232246</v>
      </c>
      <c r="X384" s="14">
        <f t="shared" si="39"/>
        <v>4.668420697652983</v>
      </c>
      <c r="Y384" s="14">
        <f t="shared" si="40"/>
        <v>-0.03339813336918995</v>
      </c>
      <c r="Z384" s="15">
        <f t="shared" si="41"/>
        <v>7.555464774514425</v>
      </c>
    </row>
    <row r="385" spans="18:26" ht="12">
      <c r="R385" s="13">
        <v>2058.003949866386</v>
      </c>
      <c r="S385" s="13">
        <f t="shared" si="34"/>
        <v>0.29321587709564695</v>
      </c>
      <c r="T385" s="13">
        <f t="shared" si="35"/>
        <v>0.08536133024758334</v>
      </c>
      <c r="U385" s="14">
        <f t="shared" si="36"/>
        <v>-0.01118298055355993</v>
      </c>
      <c r="V385" s="14">
        <f t="shared" si="37"/>
        <v>-0.05692164536446498</v>
      </c>
      <c r="W385" s="14">
        <f t="shared" si="38"/>
        <v>2.8568555739265733</v>
      </c>
      <c r="X385" s="14">
        <f t="shared" si="39"/>
        <v>4.816423968278163</v>
      </c>
      <c r="Y385" s="14">
        <f t="shared" si="40"/>
        <v>-0.03484526365902818</v>
      </c>
      <c r="Z385" s="15">
        <f t="shared" si="41"/>
        <v>7.570329652627683</v>
      </c>
    </row>
    <row r="386" spans="18:26" ht="12">
      <c r="R386" s="13">
        <v>2099.1640288637136</v>
      </c>
      <c r="S386" s="13">
        <f t="shared" si="34"/>
        <v>0.29908019463755986</v>
      </c>
      <c r="T386" s="13">
        <f t="shared" si="35"/>
        <v>0.08878418793849824</v>
      </c>
      <c r="U386" s="14">
        <f t="shared" si="36"/>
        <v>-0.010741030538326868</v>
      </c>
      <c r="V386" s="14">
        <f t="shared" si="37"/>
        <v>-0.05460281257391486</v>
      </c>
      <c r="W386" s="14">
        <f t="shared" si="38"/>
        <v>2.728820698005098</v>
      </c>
      <c r="X386" s="14">
        <f t="shared" si="39"/>
        <v>4.96846163069907</v>
      </c>
      <c r="Y386" s="14">
        <f t="shared" si="40"/>
        <v>-0.03635926823727109</v>
      </c>
      <c r="Z386" s="15">
        <f t="shared" si="41"/>
        <v>7.595579217354656</v>
      </c>
    </row>
    <row r="387" spans="18:26" ht="12">
      <c r="R387" s="13">
        <v>2141.147309440988</v>
      </c>
      <c r="S387" s="13">
        <f t="shared" si="34"/>
        <v>0.30506179853031107</v>
      </c>
      <c r="T387" s="13">
        <f t="shared" si="35"/>
        <v>0.09234321386110018</v>
      </c>
      <c r="U387" s="14">
        <f t="shared" si="36"/>
        <v>-0.010316352792550276</v>
      </c>
      <c r="V387" s="14">
        <f t="shared" si="37"/>
        <v>-0.052380069259328366</v>
      </c>
      <c r="W387" s="14">
        <f t="shared" si="38"/>
        <v>2.6069655749756997</v>
      </c>
      <c r="X387" s="14">
        <f t="shared" si="39"/>
        <v>5.124631936779764</v>
      </c>
      <c r="Y387" s="14">
        <f t="shared" si="40"/>
        <v>-0.037943605749456655</v>
      </c>
      <c r="Z387" s="15">
        <f t="shared" si="41"/>
        <v>7.630957483954129</v>
      </c>
    </row>
    <row r="388" spans="18:26" ht="12">
      <c r="R388" s="13">
        <v>2183.970255629808</v>
      </c>
      <c r="S388" s="13">
        <f t="shared" si="34"/>
        <v>0.3111630345009173</v>
      </c>
      <c r="T388" s="13">
        <f t="shared" si="35"/>
        <v>0.09604373567971991</v>
      </c>
      <c r="U388" s="14">
        <f t="shared" si="36"/>
        <v>-0.009908268284206656</v>
      </c>
      <c r="V388" s="14">
        <f t="shared" si="37"/>
        <v>-0.050249209735120814</v>
      </c>
      <c r="W388" s="14">
        <f t="shared" si="38"/>
        <v>2.4909563187643826</v>
      </c>
      <c r="X388" s="14">
        <f t="shared" si="39"/>
        <v>5.2850364823155065</v>
      </c>
      <c r="Y388" s="14">
        <f t="shared" si="40"/>
        <v>-0.03960194560544661</v>
      </c>
      <c r="Z388" s="15">
        <f t="shared" si="41"/>
        <v>7.676233377455115</v>
      </c>
    </row>
    <row r="389" spans="18:26" ht="12">
      <c r="R389" s="13">
        <v>2227.649660742404</v>
      </c>
      <c r="S389" s="13">
        <f t="shared" si="34"/>
        <v>0.3173862951909357</v>
      </c>
      <c r="T389" s="13">
        <f t="shared" si="35"/>
        <v>0.0998912820961392</v>
      </c>
      <c r="U389" s="14">
        <f t="shared" si="36"/>
        <v>-0.009516124991044705</v>
      </c>
      <c r="V389" s="14">
        <f t="shared" si="37"/>
        <v>-0.04820622945221231</v>
      </c>
      <c r="W389" s="14">
        <f t="shared" si="38"/>
        <v>2.3804795138120696</v>
      </c>
      <c r="X389" s="14">
        <f t="shared" si="39"/>
        <v>5.44978033119877</v>
      </c>
      <c r="Y389" s="14">
        <f t="shared" si="40"/>
        <v>-0.04133818355178365</v>
      </c>
      <c r="Z389" s="15">
        <f t="shared" si="41"/>
        <v>7.7311993070158</v>
      </c>
    </row>
    <row r="390" spans="18:26" ht="12">
      <c r="R390" s="13">
        <v>2272.202653957252</v>
      </c>
      <c r="S390" s="13">
        <f t="shared" si="34"/>
        <v>0.32373402109475435</v>
      </c>
      <c r="T390" s="13">
        <f t="shared" si="35"/>
        <v>0.1038915898140867</v>
      </c>
      <c r="U390" s="14">
        <f t="shared" si="36"/>
        <v>-0.009139296802771923</v>
      </c>
      <c r="V390" s="14">
        <f t="shared" si="37"/>
        <v>-0.046247314116385496</v>
      </c>
      <c r="W390" s="14">
        <f t="shared" si="38"/>
        <v>2.275240790280499</v>
      </c>
      <c r="X390" s="14">
        <f t="shared" si="39"/>
        <v>5.618972114902121</v>
      </c>
      <c r="Y390" s="14">
        <f t="shared" si="40"/>
        <v>-0.043156458627445105</v>
      </c>
      <c r="Z390" s="15">
        <f t="shared" si="41"/>
        <v>7.7956698356360175</v>
      </c>
    </row>
    <row r="391" spans="18:26" ht="12">
      <c r="R391" s="13">
        <v>2317.6467070363974</v>
      </c>
      <c r="S391" s="13">
        <f t="shared" si="34"/>
        <v>0.3302087015166495</v>
      </c>
      <c r="T391" s="13">
        <f t="shared" si="35"/>
        <v>0.10805061069134136</v>
      </c>
      <c r="U391" s="14">
        <f t="shared" si="36"/>
        <v>-0.008777182469746236</v>
      </c>
      <c r="V391" s="14">
        <f t="shared" si="37"/>
        <v>-0.04436882948526133</v>
      </c>
      <c r="W391" s="14">
        <f t="shared" si="38"/>
        <v>2.174963511120552</v>
      </c>
      <c r="X391" s="14">
        <f t="shared" si="39"/>
        <v>5.7927240977242995</v>
      </c>
      <c r="Y391" s="14">
        <f t="shared" si="40"/>
        <v>-0.04506117164680257</v>
      </c>
      <c r="Z391" s="15">
        <f t="shared" si="41"/>
        <v>7.869480425243042</v>
      </c>
    </row>
    <row r="392" spans="18:26" ht="12">
      <c r="R392" s="13">
        <v>2363.9996411771253</v>
      </c>
      <c r="S392" s="13">
        <f t="shared" si="34"/>
        <v>0.33681287554698247</v>
      </c>
      <c r="T392" s="13">
        <f t="shared" si="35"/>
        <v>0.11237451907950029</v>
      </c>
      <c r="U392" s="14">
        <f t="shared" si="36"/>
        <v>-0.008429204595827855</v>
      </c>
      <c r="V392" s="14">
        <f t="shared" si="37"/>
        <v>-0.042567311795625784</v>
      </c>
      <c r="W392" s="14">
        <f t="shared" si="38"/>
        <v>2.0793875614106305</v>
      </c>
      <c r="X392" s="14">
        <f t="shared" si="39"/>
        <v>5.971152195867761</v>
      </c>
      <c r="Y392" s="14">
        <f t="shared" si="40"/>
        <v>-0.04705700537067248</v>
      </c>
      <c r="Z392" s="15">
        <f t="shared" si="41"/>
        <v>7.9524862355162655</v>
      </c>
    </row>
    <row r="393" spans="18:26" ht="12">
      <c r="R393" s="13">
        <v>2411.279634000668</v>
      </c>
      <c r="S393" s="13">
        <f t="shared" si="34"/>
        <v>0.3435491330579222</v>
      </c>
      <c r="T393" s="13">
        <f t="shared" si="35"/>
        <v>0.11686971935087712</v>
      </c>
      <c r="U393" s="14">
        <f t="shared" si="36"/>
        <v>-0.008094808673696718</v>
      </c>
      <c r="V393" s="14">
        <f t="shared" si="37"/>
        <v>-0.04083945877637163</v>
      </c>
      <c r="W393" s="14">
        <f t="shared" si="38"/>
        <v>1.9882682311437918</v>
      </c>
      <c r="X393" s="14">
        <f t="shared" si="39"/>
        <v>6.15437593546574</v>
      </c>
      <c r="Y393" s="14">
        <f t="shared" si="40"/>
        <v>-0.04914894654572377</v>
      </c>
      <c r="Z393" s="15">
        <f t="shared" si="41"/>
        <v>8.04456095261374</v>
      </c>
    </row>
    <row r="394" spans="18:26" ht="12">
      <c r="R394" s="13">
        <v>2459.5052266806815</v>
      </c>
      <c r="S394" s="13">
        <f t="shared" si="34"/>
        <v>0.35042011571908066</v>
      </c>
      <c r="T394" s="13">
        <f t="shared" si="35"/>
        <v>0.12154285361133513</v>
      </c>
      <c r="U394" s="14">
        <f t="shared" si="36"/>
        <v>-0.007773462160479028</v>
      </c>
      <c r="V394" s="14">
        <f t="shared" si="37"/>
        <v>-0.03918212120608899</v>
      </c>
      <c r="W394" s="14">
        <f t="shared" si="38"/>
        <v>1.9013751834014414</v>
      </c>
      <c r="X394" s="14">
        <f t="shared" si="39"/>
        <v>6.3425183310137205</v>
      </c>
      <c r="Y394" s="14">
        <f t="shared" si="40"/>
        <v>-0.05134231001448786</v>
      </c>
      <c r="Z394" s="15">
        <f t="shared" si="41"/>
        <v>8.145595621034108</v>
      </c>
    </row>
    <row r="395" spans="18:26" ht="12">
      <c r="R395" s="13">
        <v>2508.695331214295</v>
      </c>
      <c r="S395" s="13">
        <f t="shared" si="34"/>
        <v>0.3574285180334622</v>
      </c>
      <c r="T395" s="13">
        <f t="shared" si="35"/>
        <v>0.1264008095971217</v>
      </c>
      <c r="U395" s="14">
        <f t="shared" si="36"/>
        <v>-0.007464653592059278</v>
      </c>
      <c r="V395" s="14">
        <f t="shared" si="37"/>
        <v>-0.037592294977425667</v>
      </c>
      <c r="W395" s="14">
        <f t="shared" si="38"/>
        <v>1.818491500574627</v>
      </c>
      <c r="X395" s="14">
        <f t="shared" si="39"/>
        <v>6.535705661108969</v>
      </c>
      <c r="Y395" s="14">
        <f t="shared" si="40"/>
        <v>-0.0536427651232243</v>
      </c>
      <c r="Z395" s="15">
        <f t="shared" si="41"/>
        <v>8.255497447990887</v>
      </c>
    </row>
    <row r="396" spans="18:26" ht="12">
      <c r="R396" s="13">
        <v>2558.869237838581</v>
      </c>
      <c r="S396" s="13">
        <f t="shared" si="34"/>
        <v>0.36457708839413144</v>
      </c>
      <c r="T396" s="13">
        <f t="shared" si="35"/>
        <v>0.13145072875295208</v>
      </c>
      <c r="U396" s="14">
        <f t="shared" si="36"/>
        <v>-0.007167891734312093</v>
      </c>
      <c r="V396" s="14">
        <f t="shared" si="37"/>
        <v>-0.036067113633357906</v>
      </c>
      <c r="W396" s="14">
        <f t="shared" si="38"/>
        <v>1.7394128019701824</v>
      </c>
      <c r="X396" s="14">
        <f t="shared" si="39"/>
        <v>6.734067112744354</v>
      </c>
      <c r="Y396" s="14">
        <f t="shared" si="40"/>
        <v>-0.056056364683418236</v>
      </c>
      <c r="Z396" s="15">
        <f t="shared" si="41"/>
        <v>8.374188544663449</v>
      </c>
    </row>
    <row r="397" spans="18:26" ht="12">
      <c r="R397" s="13">
        <v>2610.0466225953523</v>
      </c>
      <c r="S397" s="13">
        <f t="shared" si="34"/>
        <v>0.37186863016201405</v>
      </c>
      <c r="T397" s="13">
        <f t="shared" si="35"/>
        <v>0.13670001448767868</v>
      </c>
      <c r="U397" s="14">
        <f t="shared" si="36"/>
        <v>-0.006882704769608949</v>
      </c>
      <c r="V397" s="14">
        <f t="shared" si="37"/>
        <v>-0.03460384134320904</v>
      </c>
      <c r="W397" s="14">
        <f t="shared" si="38"/>
        <v>1.6639464267612496</v>
      </c>
      <c r="X397" s="14">
        <f t="shared" si="39"/>
        <v>6.93773425836819</v>
      </c>
      <c r="Y397" s="14">
        <f t="shared" si="40"/>
        <v>-0.05858957677515075</v>
      </c>
      <c r="Z397" s="15">
        <f t="shared" si="41"/>
        <v>8.501604562241472</v>
      </c>
    </row>
    <row r="398" spans="18:26" ht="12">
      <c r="R398" s="13">
        <v>2662.2475550472595</v>
      </c>
      <c r="S398" s="13">
        <f t="shared" si="34"/>
        <v>0.3793060027652544</v>
      </c>
      <c r="T398" s="13">
        <f t="shared" si="35"/>
        <v>0.14215634060287818</v>
      </c>
      <c r="U398" s="14">
        <f t="shared" si="36"/>
        <v>-0.006608639517054371</v>
      </c>
      <c r="V398" s="14">
        <f t="shared" si="37"/>
        <v>-0.03319986628865479</v>
      </c>
      <c r="W398" s="14">
        <f t="shared" si="38"/>
        <v>1.5919106768097606</v>
      </c>
      <c r="X398" s="14">
        <f t="shared" si="39"/>
        <v>7.1468403211762395</v>
      </c>
      <c r="Y398" s="14">
        <f t="shared" si="40"/>
        <v>-0.06124931971782388</v>
      </c>
      <c r="Z398" s="15">
        <f t="shared" si="41"/>
        <v>8.637693172462466</v>
      </c>
    </row>
    <row r="399" spans="18:26" ht="12">
      <c r="R399" s="13">
        <v>2715.492506148205</v>
      </c>
      <c r="S399" s="13">
        <f t="shared" si="34"/>
        <v>0.3868921228205595</v>
      </c>
      <c r="T399" s="13">
        <f t="shared" si="35"/>
        <v>0.14782765988857302</v>
      </c>
      <c r="U399" s="14">
        <f t="shared" si="36"/>
        <v>-0.006345260685044707</v>
      </c>
      <c r="V399" s="14">
        <f t="shared" si="37"/>
        <v>-0.03185269443232386</v>
      </c>
      <c r="W399" s="14">
        <f t="shared" si="38"/>
        <v>1.5231341144030246</v>
      </c>
      <c r="X399" s="14">
        <f t="shared" si="39"/>
        <v>7.361519173232901</v>
      </c>
      <c r="Y399" s="14">
        <f t="shared" si="40"/>
        <v>-0.06404300057623913</v>
      </c>
      <c r="Z399" s="15">
        <f t="shared" si="41"/>
        <v>8.782412331942318</v>
      </c>
    </row>
    <row r="400" spans="18:26" ht="12">
      <c r="R400" s="13">
        <v>2769.802356271169</v>
      </c>
      <c r="S400" s="13">
        <f t="shared" si="34"/>
        <v>0.3946299652769707</v>
      </c>
      <c r="T400" s="13">
        <f t="shared" si="35"/>
        <v>0.15372221287908017</v>
      </c>
      <c r="U400" s="14">
        <f t="shared" si="36"/>
        <v>-0.00609215015460407</v>
      </c>
      <c r="V400" s="14">
        <f t="shared" si="37"/>
        <v>-0.030559943643527987</v>
      </c>
      <c r="W400" s="14">
        <f t="shared" si="38"/>
        <v>1.4574549104110552</v>
      </c>
      <c r="X400" s="14">
        <f t="shared" si="39"/>
        <v>7.581903997523536</v>
      </c>
      <c r="Y400" s="14">
        <f t="shared" si="40"/>
        <v>-0.0669785576188997</v>
      </c>
      <c r="Z400" s="15">
        <f t="shared" si="41"/>
        <v>8.93572825651756</v>
      </c>
    </row>
    <row r="401" spans="18:26" ht="12">
      <c r="R401" s="13">
        <v>2825.1984033965928</v>
      </c>
      <c r="S401" s="13">
        <f t="shared" si="34"/>
        <v>0.4025225645825101</v>
      </c>
      <c r="T401" s="13">
        <f t="shared" si="35"/>
        <v>0.15984853676062516</v>
      </c>
      <c r="U401" s="14">
        <f t="shared" si="36"/>
        <v>-0.005848906292346356</v>
      </c>
      <c r="V401" s="14">
        <f t="shared" si="37"/>
        <v>-0.02931933815774812</v>
      </c>
      <c r="W401" s="14">
        <f t="shared" si="38"/>
        <v>1.3947202387886382</v>
      </c>
      <c r="X401" s="14">
        <f t="shared" si="39"/>
        <v>7.808125528309031</v>
      </c>
      <c r="Y401" s="14">
        <f t="shared" si="40"/>
        <v>-0.07006450720157398</v>
      </c>
      <c r="Z401" s="15">
        <f t="shared" si="41"/>
        <v>9.097613015446</v>
      </c>
    </row>
    <row r="402" spans="18:26" ht="12">
      <c r="R402" s="13">
        <v>2881.7023714645247</v>
      </c>
      <c r="S402" s="13">
        <f t="shared" si="34"/>
        <v>0.41057301587416034</v>
      </c>
      <c r="T402" s="13">
        <f t="shared" si="35"/>
        <v>0.1662154744208762</v>
      </c>
      <c r="U402" s="14">
        <f t="shared" si="36"/>
        <v>-0.005615143291587188</v>
      </c>
      <c r="V402" s="14">
        <f t="shared" si="37"/>
        <v>-0.02812870334802753</v>
      </c>
      <c r="W402" s="14">
        <f t="shared" si="38"/>
        <v>1.3347857137216383</v>
      </c>
      <c r="X402" s="14">
        <f t="shared" si="39"/>
        <v>8.040309763460709</v>
      </c>
      <c r="Y402" s="14">
        <f t="shared" si="40"/>
        <v>-0.07330999561381146</v>
      </c>
      <c r="Z402" s="15">
        <f t="shared" si="41"/>
        <v>9.26804163492892</v>
      </c>
    </row>
    <row r="403" spans="18:26" ht="12">
      <c r="R403" s="13">
        <v>2939.3364188938153</v>
      </c>
      <c r="S403" s="13">
        <f t="shared" si="34"/>
        <v>0.4187844761916436</v>
      </c>
      <c r="T403" s="13">
        <f t="shared" si="35"/>
        <v>0.17283218362892142</v>
      </c>
      <c r="U403" s="14">
        <f t="shared" si="36"/>
        <v>-0.0053904905405488535</v>
      </c>
      <c r="V403" s="14">
        <f t="shared" si="37"/>
        <v>-0.026985960788186603</v>
      </c>
      <c r="W403" s="14">
        <f t="shared" si="38"/>
        <v>1.2775148660532487</v>
      </c>
      <c r="X403" s="14">
        <f t="shared" si="39"/>
        <v>8.278575016945242</v>
      </c>
      <c r="Y403" s="14">
        <f t="shared" si="40"/>
        <v>-0.076724856500755</v>
      </c>
      <c r="Z403" s="15">
        <f t="shared" si="41"/>
        <v>9.446988575169</v>
      </c>
    </row>
    <row r="404" spans="18:26" ht="12">
      <c r="R404" s="13">
        <v>2998.123147271692</v>
      </c>
      <c r="S404" s="13">
        <f t="shared" si="34"/>
        <v>0.42716016571547644</v>
      </c>
      <c r="T404" s="13">
        <f t="shared" si="35"/>
        <v>0.17970814633242282</v>
      </c>
      <c r="U404" s="14">
        <f t="shared" si="36"/>
        <v>-0.005174592016414792</v>
      </c>
      <c r="V404" s="14">
        <f t="shared" si="37"/>
        <v>-0.0258891235891916</v>
      </c>
      <c r="W404" s="14">
        <f t="shared" si="38"/>
        <v>1.2227786559282094</v>
      </c>
      <c r="X404" s="14">
        <f t="shared" si="39"/>
        <v>8.523028148335202</v>
      </c>
      <c r="Y404" s="14">
        <f t="shared" si="40"/>
        <v>-0.08031967455893474</v>
      </c>
      <c r="Z404" s="15">
        <f t="shared" si="41"/>
        <v>9.63442341409887</v>
      </c>
    </row>
    <row r="405" spans="18:26" ht="12">
      <c r="R405" s="13">
        <v>3058.0856102171256</v>
      </c>
      <c r="S405" s="13">
        <f t="shared" si="34"/>
        <v>0.43570336902978596</v>
      </c>
      <c r="T405" s="13">
        <f t="shared" si="35"/>
        <v>0.18685317805672502</v>
      </c>
      <c r="U405" s="14">
        <f t="shared" si="36"/>
        <v>-0.004967105704148267</v>
      </c>
      <c r="V405" s="14">
        <f t="shared" si="37"/>
        <v>-0.0248362919913383</v>
      </c>
      <c r="W405" s="14">
        <f t="shared" si="38"/>
        <v>1.170455018863942</v>
      </c>
      <c r="X405" s="14">
        <f t="shared" si="39"/>
        <v>8.773759768082027</v>
      </c>
      <c r="Y405" s="14">
        <f t="shared" si="40"/>
        <v>-0.08410585630473633</v>
      </c>
      <c r="Z405" s="15">
        <f t="shared" si="41"/>
        <v>9.830305532945745</v>
      </c>
    </row>
    <row r="406" spans="18:26" ht="12">
      <c r="R406" s="13">
        <v>3119.247322421468</v>
      </c>
      <c r="S406" s="13">
        <f t="shared" si="34"/>
        <v>0.4444174364103817</v>
      </c>
      <c r="T406" s="13">
        <f t="shared" si="35"/>
        <v>0.19427743738855144</v>
      </c>
      <c r="U406" s="14">
        <f t="shared" si="36"/>
        <v>-0.004767703039030735</v>
      </c>
      <c r="V406" s="14">
        <f t="shared" si="37"/>
        <v>-0.023825649196176357</v>
      </c>
      <c r="W406" s="14">
        <f t="shared" si="38"/>
        <v>1.1204284427013338</v>
      </c>
      <c r="X406" s="14">
        <f t="shared" si="39"/>
        <v>9.030838171231734</v>
      </c>
      <c r="Y406" s="14">
        <f t="shared" si="40"/>
        <v>-0.08809570883048501</v>
      </c>
      <c r="Z406" s="15">
        <f t="shared" si="41"/>
        <v>10.034577552867376</v>
      </c>
    </row>
    <row r="407" spans="18:26" ht="12">
      <c r="R407" s="13">
        <v>3181.6322688698974</v>
      </c>
      <c r="S407" s="13">
        <f t="shared" si="34"/>
        <v>0.4533057851385893</v>
      </c>
      <c r="T407" s="13">
        <f t="shared" si="35"/>
        <v>0.20199143552458654</v>
      </c>
      <c r="U407" s="14">
        <f t="shared" si="36"/>
        <v>-0.004576068371893172</v>
      </c>
      <c r="V407" s="14">
        <f t="shared" si="37"/>
        <v>-0.02285545742325823</v>
      </c>
      <c r="W407" s="14">
        <f t="shared" si="38"/>
        <v>1.072589573106935</v>
      </c>
      <c r="X407" s="14">
        <f t="shared" si="39"/>
        <v>9.294301697352834</v>
      </c>
      <c r="Y407" s="14">
        <f t="shared" si="40"/>
        <v>-0.09230252759828095</v>
      </c>
      <c r="Z407" s="15">
        <f t="shared" si="41"/>
        <v>10.247157217066336</v>
      </c>
    </row>
    <row r="408" spans="18:26" ht="12">
      <c r="R408" s="13">
        <v>3245.2649142472956</v>
      </c>
      <c r="S408" s="13">
        <f t="shared" si="34"/>
        <v>0.46237190084136115</v>
      </c>
      <c r="T408" s="13">
        <f t="shared" si="35"/>
        <v>0.21000604586268698</v>
      </c>
      <c r="U408" s="14">
        <f t="shared" si="36"/>
        <v>-0.004391898456088228</v>
      </c>
      <c r="V408" s="14">
        <f t="shared" si="37"/>
        <v>-0.021924054177826946</v>
      </c>
      <c r="W408" s="14">
        <f t="shared" si="38"/>
        <v>1.0268348454959035</v>
      </c>
      <c r="X408" s="14">
        <f t="shared" si="39"/>
        <v>9.564149150147717</v>
      </c>
      <c r="Y408" s="14">
        <f t="shared" si="40"/>
        <v>-0.09674069447958389</v>
      </c>
      <c r="Z408" s="15">
        <f t="shared" si="41"/>
        <v>10.467927348530122</v>
      </c>
    </row>
    <row r="409" spans="18:26" ht="12">
      <c r="R409" s="13">
        <v>3310.1702125322417</v>
      </c>
      <c r="S409" s="13">
        <f t="shared" si="34"/>
        <v>0.47161933885818846</v>
      </c>
      <c r="T409" s="13">
        <f t="shared" si="35"/>
        <v>0.21833251361068443</v>
      </c>
      <c r="U409" s="14">
        <f t="shared" si="36"/>
        <v>-0.004214901955288397</v>
      </c>
      <c r="V409" s="14">
        <f t="shared" si="37"/>
        <v>-0.021029848716517918</v>
      </c>
      <c r="W409" s="14">
        <f t="shared" si="38"/>
        <v>0.9830661414230519</v>
      </c>
      <c r="X409" s="14">
        <f t="shared" si="39"/>
        <v>9.840327836874494</v>
      </c>
      <c r="Y409" s="14">
        <f t="shared" si="40"/>
        <v>-0.10142578743305752</v>
      </c>
      <c r="Z409" s="15">
        <f t="shared" si="41"/>
        <v>10.696723440192681</v>
      </c>
    </row>
    <row r="410" spans="18:26" ht="12">
      <c r="R410" s="13">
        <v>3376.3736167828865</v>
      </c>
      <c r="S410" s="13">
        <f t="shared" si="34"/>
        <v>0.4810517256353522</v>
      </c>
      <c r="T410" s="13">
        <f t="shared" si="35"/>
        <v>0.22698246538471595</v>
      </c>
      <c r="U410" s="14">
        <f t="shared" si="36"/>
        <v>-0.004044798971229113</v>
      </c>
      <c r="V410" s="14">
        <f t="shared" si="37"/>
        <v>-0.02017131869914479</v>
      </c>
      <c r="W410" s="14">
        <f t="shared" si="38"/>
        <v>0.9411904676505074</v>
      </c>
      <c r="X410" s="14">
        <f t="shared" si="39"/>
        <v>10.122718707295263</v>
      </c>
      <c r="Y410" s="14">
        <f t="shared" si="40"/>
        <v>-0.10637470342958055</v>
      </c>
      <c r="Z410" s="15">
        <f t="shared" si="41"/>
        <v>10.933318353845817</v>
      </c>
    </row>
    <row r="411" spans="18:26" ht="12">
      <c r="R411" s="13">
        <v>3443.9010891185444</v>
      </c>
      <c r="S411" s="13">
        <f t="shared" si="34"/>
        <v>0.4906727601480592</v>
      </c>
      <c r="T411" s="13">
        <f t="shared" si="35"/>
        <v>0.23596791876572432</v>
      </c>
      <c r="U411" s="14">
        <f t="shared" si="36"/>
        <v>-0.0038813205905654513</v>
      </c>
      <c r="V411" s="14">
        <f t="shared" si="37"/>
        <v>-0.019347007015248607</v>
      </c>
      <c r="W411" s="14">
        <f t="shared" si="38"/>
        <v>0.9011196562461983</v>
      </c>
      <c r="X411" s="14">
        <f t="shared" si="39"/>
        <v>10.41111798923494</v>
      </c>
      <c r="Y411" s="14">
        <f t="shared" si="40"/>
        <v>-0.11160579648755431</v>
      </c>
      <c r="Z411" s="15">
        <f t="shared" si="41"/>
        <v>11.17740352138777</v>
      </c>
    </row>
    <row r="412" spans="18:26" ht="12">
      <c r="R412" s="13">
        <v>3512.7791109009154</v>
      </c>
      <c r="S412" s="13">
        <f t="shared" si="34"/>
        <v>0.5004862153510204</v>
      </c>
      <c r="T412" s="13">
        <f t="shared" si="35"/>
        <v>0.24530129177919077</v>
      </c>
      <c r="U412" s="14">
        <f t="shared" si="36"/>
        <v>-0.003724208450028854</v>
      </c>
      <c r="V412" s="14">
        <f t="shared" si="37"/>
        <v>-0.01855551877517314</v>
      </c>
      <c r="W412" s="14">
        <f t="shared" si="38"/>
        <v>0.8627700841996244</v>
      </c>
      <c r="X412" s="14">
        <f t="shared" si="39"/>
        <v>10.705214642570297</v>
      </c>
      <c r="Y412" s="14">
        <f t="shared" si="40"/>
        <v>-0.11713903298134443</v>
      </c>
      <c r="Z412" s="15">
        <f t="shared" si="41"/>
        <v>11.428565966563376</v>
      </c>
    </row>
    <row r="413" spans="18:26" ht="12">
      <c r="R413" s="13">
        <v>3583.034693118934</v>
      </c>
      <c r="S413" s="13">
        <f t="shared" si="34"/>
        <v>0.5104959396580409</v>
      </c>
      <c r="T413" s="13">
        <f t="shared" si="35"/>
        <v>0.2549954122592829</v>
      </c>
      <c r="U413" s="14">
        <f t="shared" si="36"/>
        <v>-0.0035732143191413712</v>
      </c>
      <c r="V413" s="14">
        <f t="shared" si="37"/>
        <v>-0.017795518455782755</v>
      </c>
      <c r="W413" s="14">
        <f t="shared" si="38"/>
        <v>0.8260624111615691</v>
      </c>
      <c r="X413" s="14">
        <f t="shared" si="39"/>
        <v>11.004562902687454</v>
      </c>
      <c r="Y413" s="14">
        <f t="shared" si="40"/>
        <v>-0.12299616673960956</v>
      </c>
      <c r="Z413" s="15">
        <f t="shared" si="41"/>
        <v>11.68626041433449</v>
      </c>
    </row>
    <row r="414" spans="18:26" ht="12">
      <c r="R414" s="13">
        <v>3654.6953869813124</v>
      </c>
      <c r="S414" s="13">
        <f t="shared" si="34"/>
        <v>0.5207058584512017</v>
      </c>
      <c r="T414" s="13">
        <f t="shared" si="35"/>
        <v>0.2650635270543861</v>
      </c>
      <c r="U414" s="14">
        <f t="shared" si="36"/>
        <v>-0.0034280996997217983</v>
      </c>
      <c r="V414" s="14">
        <f t="shared" si="37"/>
        <v>-0.01706572719190902</v>
      </c>
      <c r="W414" s="14">
        <f t="shared" si="38"/>
        <v>0.7909213340236345</v>
      </c>
      <c r="X414" s="14">
        <f t="shared" si="39"/>
        <v>11.30854918669756</v>
      </c>
      <c r="Y414" s="14">
        <f t="shared" si="40"/>
        <v>-0.12920093686972334</v>
      </c>
      <c r="Z414" s="15">
        <f t="shared" si="41"/>
        <v>11.94977575695984</v>
      </c>
    </row>
    <row r="415" spans="18:26" ht="12">
      <c r="R415" s="13">
        <v>3727.789294720939</v>
      </c>
      <c r="S415" s="13">
        <f t="shared" si="34"/>
        <v>0.5311199756202257</v>
      </c>
      <c r="T415" s="13">
        <f t="shared" si="35"/>
        <v>0.27551931102642696</v>
      </c>
      <c r="U415" s="14">
        <f t="shared" si="36"/>
        <v>-0.0032886354415513352</v>
      </c>
      <c r="V415" s="14">
        <f t="shared" si="37"/>
        <v>-0.016364920204965827</v>
      </c>
      <c r="W415" s="14">
        <f t="shared" si="38"/>
        <v>0.7572753571531994</v>
      </c>
      <c r="X415" s="14">
        <f t="shared" si="39"/>
        <v>11.616352736118838</v>
      </c>
      <c r="Y415" s="14">
        <f t="shared" si="40"/>
        <v>-0.13577929174272008</v>
      </c>
      <c r="Z415" s="15">
        <f t="shared" si="41"/>
        <v>12.2181952458828</v>
      </c>
    </row>
    <row r="416" spans="18:26" ht="12">
      <c r="R416" s="13">
        <v>3802.345080615358</v>
      </c>
      <c r="S416" s="13">
        <f t="shared" si="34"/>
        <v>0.5417423751326302</v>
      </c>
      <c r="T416" s="13">
        <f t="shared" si="35"/>
        <v>0.2863768757914575</v>
      </c>
      <c r="U416" s="14">
        <f t="shared" si="36"/>
        <v>-0.0031546013734278233</v>
      </c>
      <c r="V416" s="14">
        <f t="shared" si="37"/>
        <v>-0.01569192436089928</v>
      </c>
      <c r="W416" s="14">
        <f t="shared" si="38"/>
        <v>0.7250565771904558</v>
      </c>
      <c r="X416" s="14">
        <f t="shared" si="39"/>
        <v>11.92689963607423</v>
      </c>
      <c r="Y416" s="14">
        <f t="shared" si="40"/>
        <v>-0.14275964316691048</v>
      </c>
      <c r="Z416" s="15">
        <f t="shared" si="41"/>
        <v>12.49035004436345</v>
      </c>
    </row>
    <row r="417" spans="18:26" ht="12">
      <c r="R417" s="13">
        <v>3878.391982227665</v>
      </c>
      <c r="S417" s="13">
        <f t="shared" si="34"/>
        <v>0.5525772226352829</v>
      </c>
      <c r="T417" s="13">
        <f t="shared" si="35"/>
        <v>0.2976507781436333</v>
      </c>
      <c r="U417" s="14">
        <f t="shared" si="36"/>
        <v>-0.0030257859490898653</v>
      </c>
      <c r="V417" s="14">
        <f t="shared" si="37"/>
        <v>-0.015045615850089789</v>
      </c>
      <c r="W417" s="14">
        <f t="shared" si="38"/>
        <v>0.6942004813972229</v>
      </c>
      <c r="X417" s="14">
        <f t="shared" si="39"/>
        <v>12.238810379350447</v>
      </c>
      <c r="Y417" s="14">
        <f t="shared" si="40"/>
        <v>-0.15017315548791488</v>
      </c>
      <c r="Z417" s="15">
        <f t="shared" si="41"/>
        <v>12.764766303460576</v>
      </c>
    </row>
    <row r="418" spans="18:26" ht="12">
      <c r="R418" s="13">
        <v>3955.959821872218</v>
      </c>
      <c r="S418" s="13">
        <f t="shared" si="34"/>
        <v>0.5636287670879885</v>
      </c>
      <c r="T418" s="13">
        <f t="shared" si="35"/>
        <v>0.3093560280989464</v>
      </c>
      <c r="U418" s="14">
        <f t="shared" si="36"/>
        <v>-0.0029019859073020626</v>
      </c>
      <c r="V418" s="14">
        <f t="shared" si="37"/>
        <v>-0.014424917982283958</v>
      </c>
      <c r="W418" s="14">
        <f t="shared" si="38"/>
        <v>0.664645758623541</v>
      </c>
      <c r="X418" s="14">
        <f t="shared" si="39"/>
        <v>12.550342060272758</v>
      </c>
      <c r="Y418" s="14">
        <f t="shared" si="40"/>
        <v>-0.15805407520348602</v>
      </c>
      <c r="Z418" s="15">
        <f t="shared" si="41"/>
        <v>13.039606839803227</v>
      </c>
    </row>
    <row r="419" spans="18:26" ht="12">
      <c r="R419" s="13">
        <v>4035.0790183096624</v>
      </c>
      <c r="S419" s="13">
        <f t="shared" si="34"/>
        <v>0.5749013424297483</v>
      </c>
      <c r="T419" s="13">
        <f t="shared" si="35"/>
        <v>0.3215080964888554</v>
      </c>
      <c r="U419" s="14">
        <f t="shared" si="36"/>
        <v>-0.0027830059455666856</v>
      </c>
      <c r="V419" s="14">
        <f t="shared" si="37"/>
        <v>-0.013828799090131128</v>
      </c>
      <c r="W419" s="14">
        <f t="shared" si="38"/>
        <v>0.6363341220278116</v>
      </c>
      <c r="X419" s="14">
        <f t="shared" si="39"/>
        <v>12.859327736983474</v>
      </c>
      <c r="Y419" s="14">
        <f t="shared" si="40"/>
        <v>-0.16644010770472795</v>
      </c>
      <c r="Z419" s="15">
        <f t="shared" si="41"/>
        <v>13.31260994627086</v>
      </c>
    </row>
    <row r="420" spans="18:26" ht="12">
      <c r="R420" s="13">
        <v>4115.780598675856</v>
      </c>
      <c r="S420" s="13">
        <f t="shared" si="34"/>
        <v>0.5863993692783434</v>
      </c>
      <c r="T420" s="13">
        <f t="shared" si="35"/>
        <v>0.3341229220272359</v>
      </c>
      <c r="U420" s="14">
        <f t="shared" si="36"/>
        <v>-0.0026686584069075536</v>
      </c>
      <c r="V420" s="14">
        <f t="shared" si="37"/>
        <v>-0.013256270535276116</v>
      </c>
      <c r="W420" s="14">
        <f t="shared" si="38"/>
        <v>0.6092101427504222</v>
      </c>
      <c r="X420" s="14">
        <f t="shared" si="39"/>
        <v>13.163117633395688</v>
      </c>
      <c r="Y420" s="14">
        <f t="shared" si="40"/>
        <v>-0.1753728489899289</v>
      </c>
      <c r="Z420" s="15">
        <f t="shared" si="41"/>
        <v>13.581029998213998</v>
      </c>
    </row>
    <row r="421" spans="18:26" ht="12">
      <c r="R421" s="13">
        <v>4198.096210649373</v>
      </c>
      <c r="S421" s="13">
        <f t="shared" si="34"/>
        <v>0.59812735666391</v>
      </c>
      <c r="T421" s="13">
        <f t="shared" si="35"/>
        <v>0.34721691776685143</v>
      </c>
      <c r="U421" s="14">
        <f t="shared" si="36"/>
        <v>-0.00255876297914881</v>
      </c>
      <c r="V421" s="14">
        <f t="shared" si="37"/>
        <v>-0.012706384811334459</v>
      </c>
      <c r="W421" s="14">
        <f t="shared" si="38"/>
        <v>0.5832210937995477</v>
      </c>
      <c r="X421" s="14">
        <f t="shared" si="39"/>
        <v>13.458529733235226</v>
      </c>
      <c r="Y421" s="14">
        <f t="shared" si="40"/>
        <v>-0.18489828169237554</v>
      </c>
      <c r="Z421" s="15">
        <f t="shared" si="41"/>
        <v>13.841587397551915</v>
      </c>
    </row>
    <row r="422" spans="18:26" ht="12">
      <c r="R422" s="13">
        <v>4282.05813486236</v>
      </c>
      <c r="S422" s="13">
        <f t="shared" si="34"/>
        <v>0.6100899037971883</v>
      </c>
      <c r="T422" s="13">
        <f t="shared" si="35"/>
        <v>0.36080697685376256</v>
      </c>
      <c r="U422" s="14">
        <f t="shared" si="36"/>
        <v>-0.0024531464062338415</v>
      </c>
      <c r="V422" s="14">
        <f t="shared" si="37"/>
        <v>-0.012178233738493915</v>
      </c>
      <c r="W422" s="14">
        <f t="shared" si="38"/>
        <v>0.5583168034622208</v>
      </c>
      <c r="X422" s="14">
        <f t="shared" si="39"/>
        <v>13.741820825563032</v>
      </c>
      <c r="Y422" s="14">
        <f t="shared" si="40"/>
        <v>-0.19506734658028324</v>
      </c>
      <c r="Z422" s="15">
        <f t="shared" si="41"/>
        <v>14.090438902300242</v>
      </c>
    </row>
    <row r="423" spans="18:26" ht="12">
      <c r="R423" s="13">
        <v>4367.699297559608</v>
      </c>
      <c r="S423" s="13">
        <f t="shared" si="34"/>
        <v>0.6222917018731321</v>
      </c>
      <c r="T423" s="13">
        <f t="shared" si="35"/>
        <v>0.3749104774797206</v>
      </c>
      <c r="U423" s="14">
        <f t="shared" si="36"/>
        <v>-0.002351642211040783</v>
      </c>
      <c r="V423" s="14">
        <f t="shared" si="37"/>
        <v>-0.011670946744738231</v>
      </c>
      <c r="W423" s="14">
        <f t="shared" si="38"/>
        <v>0.5344495176034858</v>
      </c>
      <c r="X423" s="14">
        <f t="shared" si="39"/>
        <v>14.008692702399697</v>
      </c>
      <c r="Y423" s="14">
        <f t="shared" si="40"/>
        <v>-0.20593660290296312</v>
      </c>
      <c r="Z423" s="15">
        <f t="shared" si="41"/>
        <v>14.323183028144442</v>
      </c>
    </row>
    <row r="424" spans="18:26" ht="12">
      <c r="R424" s="13">
        <v>4455.0532835108</v>
      </c>
      <c r="S424" s="13">
        <f t="shared" si="34"/>
        <v>0.6347375359105948</v>
      </c>
      <c r="T424" s="13">
        <f t="shared" si="35"/>
        <v>0.38954528692362156</v>
      </c>
      <c r="U424" s="14">
        <f t="shared" si="36"/>
        <v>-0.0022540904292700503</v>
      </c>
      <c r="V424" s="14">
        <f t="shared" si="37"/>
        <v>-0.011183689229021354</v>
      </c>
      <c r="W424" s="14">
        <f t="shared" si="38"/>
        <v>0.5115737702624923</v>
      </c>
      <c r="X424" s="14">
        <f t="shared" si="39"/>
        <v>14.254350925620471</v>
      </c>
      <c r="Y424" s="14">
        <f t="shared" si="40"/>
        <v>-0.21756899367037225</v>
      </c>
      <c r="Z424" s="15">
        <f t="shared" si="41"/>
        <v>14.5349179225543</v>
      </c>
    </row>
    <row r="425" spans="18:26" ht="12">
      <c r="R425" s="13">
        <v>4544.154349181016</v>
      </c>
      <c r="S425" s="13">
        <f t="shared" si="34"/>
        <v>0.6474322866288067</v>
      </c>
      <c r="T425" s="13">
        <f t="shared" si="35"/>
        <v>0.4047297645634441</v>
      </c>
      <c r="U425" s="14">
        <f t="shared" si="36"/>
        <v>-0.0021603373539322845</v>
      </c>
      <c r="V425" s="14">
        <f t="shared" si="37"/>
        <v>-0.010715661002082655</v>
      </c>
      <c r="W425" s="14">
        <f t="shared" si="38"/>
        <v>0.48964626199682204</v>
      </c>
      <c r="X425" s="14">
        <f t="shared" si="39"/>
        <v>14.473633641203955</v>
      </c>
      <c r="Y425" s="14">
        <f t="shared" si="40"/>
        <v>-0.23003473528794915</v>
      </c>
      <c r="Z425" s="15">
        <f t="shared" si="41"/>
        <v>14.720369169556813</v>
      </c>
    </row>
    <row r="426" spans="18:26" ht="12">
      <c r="R426" s="13">
        <v>4635.037436164636</v>
      </c>
      <c r="S426" s="13">
        <f t="shared" si="34"/>
        <v>0.6603809323613828</v>
      </c>
      <c r="T426" s="13">
        <f t="shared" si="35"/>
        <v>0.4204827637297722</v>
      </c>
      <c r="U426" s="14">
        <f t="shared" si="36"/>
        <v>-0.002070235289997946</v>
      </c>
      <c r="V426" s="14">
        <f t="shared" si="37"/>
        <v>-0.010266094800694958</v>
      </c>
      <c r="W426" s="14">
        <f t="shared" si="38"/>
        <v>0.468625745465471</v>
      </c>
      <c r="X426" s="14">
        <f t="shared" si="39"/>
        <v>14.661223126855475</v>
      </c>
      <c r="Y426" s="14">
        <f t="shared" si="40"/>
        <v>-0.24341235508431286</v>
      </c>
      <c r="Z426" s="15">
        <f t="shared" si="41"/>
        <v>14.87410018714594</v>
      </c>
    </row>
    <row r="427" spans="18:26" ht="12">
      <c r="R427" s="13">
        <v>4727.7381848879295</v>
      </c>
      <c r="S427" s="13">
        <f t="shared" si="34"/>
        <v>0.6735885510086105</v>
      </c>
      <c r="T427" s="13">
        <f t="shared" si="35"/>
        <v>0.43682363226094273</v>
      </c>
      <c r="U427" s="14">
        <f t="shared" si="36"/>
        <v>-0.001983642318829304</v>
      </c>
      <c r="V427" s="14">
        <f t="shared" si="37"/>
        <v>-0.00983425487159817</v>
      </c>
      <c r="W427" s="14">
        <f t="shared" si="38"/>
        <v>0.44847291777703724</v>
      </c>
      <c r="X427" s="14">
        <f t="shared" si="39"/>
        <v>14.811941222961497</v>
      </c>
      <c r="Y427" s="14">
        <f t="shared" si="40"/>
        <v>-0.25778990537039703</v>
      </c>
      <c r="Z427" s="15">
        <f t="shared" si="41"/>
        <v>14.99080633817771</v>
      </c>
    </row>
    <row r="428" spans="18:26" ht="12">
      <c r="R428" s="13">
        <v>4822.2929485856885</v>
      </c>
      <c r="S428" s="13">
        <f t="shared" si="34"/>
        <v>0.6870603220287828</v>
      </c>
      <c r="T428" s="13">
        <f t="shared" si="35"/>
        <v>0.45377221160802766</v>
      </c>
      <c r="U428" s="14">
        <f t="shared" si="36"/>
        <v>-0.0019004220719640585</v>
      </c>
      <c r="V428" s="14">
        <f t="shared" si="37"/>
        <v>-0.009419435621384586</v>
      </c>
      <c r="W428" s="14">
        <f t="shared" si="38"/>
        <v>0.4291503191631625</v>
      </c>
      <c r="X428" s="14">
        <f t="shared" si="39"/>
        <v>14.92111134460911</v>
      </c>
      <c r="Y428" s="14">
        <f t="shared" si="40"/>
        <v>-0.273266389018536</v>
      </c>
      <c r="Z428" s="15">
        <f t="shared" si="41"/>
        <v>15.065675417060389</v>
      </c>
    </row>
    <row r="429" spans="18:26" ht="12">
      <c r="R429" s="13">
        <v>4918.738807557403</v>
      </c>
      <c r="S429" s="13">
        <f t="shared" si="34"/>
        <v>0.7008015284693585</v>
      </c>
      <c r="T429" s="13">
        <f t="shared" si="35"/>
        <v>0.4713488343252368</v>
      </c>
      <c r="U429" s="14">
        <f t="shared" si="36"/>
        <v>-0.0018204435139086428</v>
      </c>
      <c r="V429" s="14">
        <f t="shared" si="37"/>
        <v>-0.009020960329010563</v>
      </c>
      <c r="W429" s="14">
        <f t="shared" si="38"/>
        <v>0.41062223756811456</v>
      </c>
      <c r="X429" s="14">
        <f t="shared" si="39"/>
        <v>14.98494753212024</v>
      </c>
      <c r="Y429" s="14">
        <f t="shared" si="40"/>
        <v>-0.2899534394906159</v>
      </c>
      <c r="Z429" s="15">
        <f t="shared" si="41"/>
        <v>15.09477492635482</v>
      </c>
    </row>
    <row r="430" spans="18:26" ht="12">
      <c r="R430" s="13">
        <v>5017.113583708551</v>
      </c>
      <c r="S430" s="13">
        <f t="shared" si="34"/>
        <v>0.7148175590387458</v>
      </c>
      <c r="T430" s="13">
        <f t="shared" si="35"/>
        <v>0.48957431976784216</v>
      </c>
      <c r="U430" s="14">
        <f t="shared" si="36"/>
        <v>-0.001743580733547745</v>
      </c>
      <c r="V430" s="14">
        <f t="shared" si="37"/>
        <v>-0.008638179917650923</v>
      </c>
      <c r="W430" s="14">
        <f t="shared" si="38"/>
        <v>0.3928546187740469</v>
      </c>
      <c r="X430" s="14">
        <f t="shared" si="39"/>
        <v>15.000911949242557</v>
      </c>
      <c r="Y430" s="14">
        <f t="shared" si="40"/>
        <v>-0.30797730822112734</v>
      </c>
      <c r="Z430" s="15">
        <f t="shared" si="41"/>
        <v>15.075407499144278</v>
      </c>
    </row>
    <row r="431" spans="18:26" ht="12">
      <c r="R431" s="13">
        <v>5117.455855382722</v>
      </c>
      <c r="S431" s="13">
        <f t="shared" si="34"/>
        <v>0.7291139102195207</v>
      </c>
      <c r="T431" s="13">
        <f t="shared" si="35"/>
        <v>0.5084699678053762</v>
      </c>
      <c r="U431" s="14">
        <f t="shared" si="36"/>
        <v>-0.0016697127438449755</v>
      </c>
      <c r="V431" s="14">
        <f t="shared" si="37"/>
        <v>-0.00827047178295004</v>
      </c>
      <c r="W431" s="14">
        <f t="shared" si="38"/>
        <v>0.37581498170795413</v>
      </c>
      <c r="X431" s="14">
        <f t="shared" si="39"/>
        <v>14.96797534812815</v>
      </c>
      <c r="Y431" s="14">
        <f t="shared" si="40"/>
        <v>-0.32748122485709913</v>
      </c>
      <c r="Z431" s="15">
        <f t="shared" si="41"/>
        <v>15.00636892045221</v>
      </c>
    </row>
    <row r="432" spans="18:26" ht="12">
      <c r="R432" s="13">
        <v>5219.804972490377</v>
      </c>
      <c r="S432" s="13">
        <f t="shared" si="34"/>
        <v>0.7436961884239112</v>
      </c>
      <c r="T432" s="13">
        <f t="shared" si="35"/>
        <v>0.5280575503425812</v>
      </c>
      <c r="U432" s="14">
        <f t="shared" si="36"/>
        <v>-0.0015987232894962844</v>
      </c>
      <c r="V432" s="14">
        <f t="shared" si="37"/>
        <v>-0.007917238674743032</v>
      </c>
      <c r="W432" s="14">
        <f t="shared" si="38"/>
        <v>0.3594723386008267</v>
      </c>
      <c r="X432" s="14">
        <f t="shared" si="39"/>
        <v>14.886726793926274</v>
      </c>
      <c r="Y432" s="14">
        <f t="shared" si="40"/>
        <v>-0.3486282118411492</v>
      </c>
      <c r="Z432" s="15">
        <f t="shared" si="41"/>
        <v>14.888054958721712</v>
      </c>
    </row>
    <row r="433" spans="18:26" ht="12">
      <c r="R433" s="13">
        <v>5324.201071940184</v>
      </c>
      <c r="S433" s="13">
        <f t="shared" si="34"/>
        <v>0.7585701121923893</v>
      </c>
      <c r="T433" s="13">
        <f t="shared" si="35"/>
        <v>0.5483593004243543</v>
      </c>
      <c r="U433" s="14">
        <f t="shared" si="36"/>
        <v>-0.0015305006622226003</v>
      </c>
      <c r="V433" s="14">
        <f t="shared" si="37"/>
        <v>-0.007577907629627845</v>
      </c>
      <c r="W433" s="14">
        <f t="shared" si="38"/>
        <v>0.34379711969228843</v>
      </c>
      <c r="X433" s="14">
        <f t="shared" si="39"/>
        <v>14.759308648836623</v>
      </c>
      <c r="Y433" s="14">
        <f t="shared" si="40"/>
        <v>-0.3716044552146264</v>
      </c>
      <c r="Z433" s="15">
        <f t="shared" si="41"/>
        <v>14.722392905022435</v>
      </c>
    </row>
    <row r="434" spans="18:26" ht="12">
      <c r="R434" s="13">
        <v>5430.685093378988</v>
      </c>
      <c r="S434" s="13">
        <f t="shared" si="34"/>
        <v>0.7737415144362373</v>
      </c>
      <c r="T434" s="13">
        <f t="shared" si="35"/>
        <v>0.5693978986837304</v>
      </c>
      <c r="U434" s="14">
        <f t="shared" si="36"/>
        <v>-0.0014649375233819484</v>
      </c>
      <c r="V434" s="14">
        <f t="shared" si="37"/>
        <v>-0.007251928951815145</v>
      </c>
      <c r="W434" s="14">
        <f t="shared" si="38"/>
        <v>0.3287611021950605</v>
      </c>
      <c r="X434" s="14">
        <f t="shared" si="39"/>
        <v>14.589191143204788</v>
      </c>
      <c r="Y434" s="14">
        <f t="shared" si="40"/>
        <v>-0.3966233596721909</v>
      </c>
      <c r="Z434" s="15">
        <f t="shared" si="41"/>
        <v>14.512612019252462</v>
      </c>
    </row>
    <row r="435" spans="18:26" ht="12">
      <c r="R435" s="13">
        <v>5539.298795246568</v>
      </c>
      <c r="S435" s="13">
        <f t="shared" si="34"/>
        <v>0.7892163447249619</v>
      </c>
      <c r="T435" s="13">
        <f t="shared" si="35"/>
        <v>0.5911964568736995</v>
      </c>
      <c r="U435" s="14">
        <f t="shared" si="36"/>
        <v>-0.0014019307336292641</v>
      </c>
      <c r="V435" s="14">
        <f t="shared" si="37"/>
        <v>-0.0069387752399237</v>
      </c>
      <c r="W435" s="14">
        <f t="shared" si="38"/>
        <v>0.3143373432531371</v>
      </c>
      <c r="X435" s="14">
        <f t="shared" si="39"/>
        <v>14.380834001251586</v>
      </c>
      <c r="Y435" s="14">
        <f t="shared" si="40"/>
        <v>-0.4239304496375226</v>
      </c>
      <c r="Z435" s="15">
        <f t="shared" si="41"/>
        <v>14.262900188893648</v>
      </c>
    </row>
    <row r="436" spans="18:26" ht="12">
      <c r="R436" s="13">
        <v>5650.0847711515</v>
      </c>
      <c r="S436" s="13">
        <f aca="true" t="shared" si="42" ref="S436:S499">2*PI()*R436/44100</f>
        <v>0.8050006716194612</v>
      </c>
      <c r="T436" s="13">
        <f aca="true" t="shared" si="43" ref="T436:T499">4*(SIN(S436/2))^2</f>
        <v>0.6137784982044002</v>
      </c>
      <c r="U436" s="14">
        <f aca="true" t="shared" si="44" ref="U436:U499">10*LOG10(($G$116+$G$117+$G$118)^2+($G$116*$G$118*T436-($G$117*($G$116+$G$118)+4*$G$116*$G$118))*T436)-10*LOG10((1+$G$119+$G$120)^2+(1*$G$120*T436-($G$119*(1+$G$120)+4*1*$G$120))*T436)</f>
        <v>-0.001341381189347679</v>
      </c>
      <c r="V436" s="14">
        <f aca="true" t="shared" si="45" ref="V436:V499">10*LOG10(($G$121+$G$122+$G$123)^2+($G$121*$G$123*$T436-($G$122*($G$121+$G$123)+4*$G$121*$G$123))*$T436)-10*LOG10((1+$G$124+$G$125)^2+(1*$G$125*$T436-($G$124*(1+$G$125)+4*1*$G$125))*$T436)</f>
        <v>-0.006637940457394187</v>
      </c>
      <c r="W436" s="14">
        <f aca="true" t="shared" si="46" ref="W436:W499">10*LOG10(($G$126+$G$127+$G$128)^2+($G$126*$G$128*$T436-($G$127*($G$126+$G$128)+4*$G$126*$G$128))*$T436)-10*LOG10((1+$G$129+$G$130)^2+(1*$G$130*$T436-($G$129*(1+$G$130)+4*1*$G$130))*$T436)</f>
        <v>0.30050011664564913</v>
      </c>
      <c r="X436" s="14">
        <f aca="true" t="shared" si="47" ref="X436:X499">10*LOG10(($G$131+$G$132+$G$133)^2+($G$131*$G$133*$T436-($G$132*($G$131+$G$133)+4*$G$131*$G$133))*$T436)-10*LOG10((1+$G$134+$G$135)^2+(1*$G$135*$T436-($G$134*(1+$G$135)+4*1*$G$135))*$T436)</f>
        <v>14.13929946315321</v>
      </c>
      <c r="Y436" s="14">
        <f aca="true" t="shared" si="48" ref="Y436:Y499">10*LOG10(($G$136+$G$137+$G$138)^2+($G$136*$G$138*$T436-($G$137*($G$136+$G$138)+4*$G$136*$G$138))*$T436)-10*LOG10((1+$G$139+$G$140)^2+(1*$G$140*$T436-($G$139*(1+$G$140)+4*1*$G$140))*$T436)</f>
        <v>-0.4538093219084608</v>
      </c>
      <c r="Z436" s="15">
        <f aca="true" t="shared" si="49" ref="Z436:Z499">U436+V436+W436+X436+Y436</f>
        <v>13.978010936243656</v>
      </c>
    </row>
    <row r="437" spans="18:26" ht="12">
      <c r="R437" s="13">
        <v>5763.08646657453</v>
      </c>
      <c r="S437" s="13">
        <f t="shared" si="42"/>
        <v>0.8211006850518504</v>
      </c>
      <c r="T437" s="13">
        <f t="shared" si="43"/>
        <v>0.6371679341868706</v>
      </c>
      <c r="U437" s="14">
        <f t="shared" si="44"/>
        <v>-0.001283193665539084</v>
      </c>
      <c r="V437" s="14">
        <f t="shared" si="45"/>
        <v>-0.006348939044484858</v>
      </c>
      <c r="W437" s="14">
        <f t="shared" si="46"/>
        <v>0.2872248530053172</v>
      </c>
      <c r="X437" s="14">
        <f t="shared" si="47"/>
        <v>13.86987860578677</v>
      </c>
      <c r="Y437" s="14">
        <f t="shared" si="48"/>
        <v>-0.48658891257594084</v>
      </c>
      <c r="Z437" s="15">
        <f t="shared" si="49"/>
        <v>13.662882413506122</v>
      </c>
    </row>
    <row r="438" spans="18:26" ht="12">
      <c r="R438" s="13">
        <v>5878.348195906021</v>
      </c>
      <c r="S438" s="13">
        <f t="shared" si="42"/>
        <v>0.8375226987528874</v>
      </c>
      <c r="T438" s="13">
        <f t="shared" si="43"/>
        <v>0.6613890376631298</v>
      </c>
      <c r="U438" s="14">
        <f t="shared" si="44"/>
        <v>-0.0012272766649936706</v>
      </c>
      <c r="V438" s="14">
        <f t="shared" si="45"/>
        <v>-0.006071305069776489</v>
      </c>
      <c r="W438" s="14">
        <f t="shared" si="46"/>
        <v>0.274488083335946</v>
      </c>
      <c r="X438" s="14">
        <f t="shared" si="47"/>
        <v>13.577776121960714</v>
      </c>
      <c r="Y438" s="14">
        <f t="shared" si="48"/>
        <v>-0.5226524160193717</v>
      </c>
      <c r="Z438" s="15">
        <f t="shared" si="49"/>
        <v>13.322313207542518</v>
      </c>
    </row>
    <row r="439" spans="18:26" ht="12">
      <c r="R439" s="13">
        <v>5995.9151598241415</v>
      </c>
      <c r="S439" s="13">
        <f t="shared" si="42"/>
        <v>0.8542731527279454</v>
      </c>
      <c r="T439" s="13">
        <f t="shared" si="43"/>
        <v>0.6864664116798455</v>
      </c>
      <c r="U439" s="14">
        <f t="shared" si="44"/>
        <v>-0.0011735422734178158</v>
      </c>
      <c r="V439" s="14">
        <f t="shared" si="45"/>
        <v>-0.005804591419322325</v>
      </c>
      <c r="W439" s="14">
        <f t="shared" si="46"/>
        <v>0.2622673856279256</v>
      </c>
      <c r="X439" s="14">
        <f t="shared" si="47"/>
        <v>13.267876499653378</v>
      </c>
      <c r="Y439" s="14">
        <f t="shared" si="48"/>
        <v>-0.5624482931094621</v>
      </c>
      <c r="Z439" s="15">
        <f t="shared" si="49"/>
        <v>12.9607174584791</v>
      </c>
    </row>
    <row r="440" spans="18:26" ht="12">
      <c r="R440" s="13">
        <v>6115.833463020625</v>
      </c>
      <c r="S440" s="13">
        <f t="shared" si="42"/>
        <v>0.8713586157825042</v>
      </c>
      <c r="T440" s="13">
        <f t="shared" si="43"/>
        <v>0.7124249538392251</v>
      </c>
      <c r="U440" s="14">
        <f t="shared" si="44"/>
        <v>-0.0011219060203293552</v>
      </c>
      <c r="V440" s="14">
        <f t="shared" si="45"/>
        <v>-0.005548369021657784</v>
      </c>
      <c r="W440" s="14">
        <f t="shared" si="46"/>
        <v>0.25054133438425863</v>
      </c>
      <c r="X440" s="14">
        <f t="shared" si="47"/>
        <v>12.944594643367562</v>
      </c>
      <c r="Y440" s="14">
        <f t="shared" si="48"/>
        <v>-0.6065039380345709</v>
      </c>
      <c r="Z440" s="15">
        <f t="shared" si="49"/>
        <v>12.581961764675263</v>
      </c>
    </row>
    <row r="441" spans="18:26" ht="12">
      <c r="R441" s="13">
        <v>6238.150132281037</v>
      </c>
      <c r="S441" s="13">
        <f t="shared" si="42"/>
        <v>0.8887857880981542</v>
      </c>
      <c r="T441" s="13">
        <f t="shared" si="43"/>
        <v>0.7392898157360936</v>
      </c>
      <c r="U441" s="14">
        <f t="shared" si="44"/>
        <v>-0.001072286745485318</v>
      </c>
      <c r="V441" s="14">
        <f t="shared" si="45"/>
        <v>-0.0053022261069677334</v>
      </c>
      <c r="W441" s="14">
        <f t="shared" si="46"/>
        <v>0.239289452882113</v>
      </c>
      <c r="X441" s="14">
        <f t="shared" si="47"/>
        <v>12.61180055294815</v>
      </c>
      <c r="Y441" s="14">
        <f t="shared" si="48"/>
        <v>-0.6554427506118476</v>
      </c>
      <c r="Z441" s="15">
        <f t="shared" si="49"/>
        <v>12.189272742365963</v>
      </c>
    </row>
    <row r="442" spans="18:26" ht="12">
      <c r="R442" s="13">
        <v>6362.913134926658</v>
      </c>
      <c r="S442" s="13">
        <f t="shared" si="42"/>
        <v>0.9065615038601175</v>
      </c>
      <c r="T442" s="13">
        <f t="shared" si="43"/>
        <v>0.7670863570643469</v>
      </c>
      <c r="U442" s="14">
        <f t="shared" si="44"/>
        <v>-0.001024606470620526</v>
      </c>
      <c r="V442" s="14">
        <f t="shared" si="45"/>
        <v>-0.005065767498802831</v>
      </c>
      <c r="W442" s="14">
        <f t="shared" si="46"/>
        <v>0.22849216800656302</v>
      </c>
      <c r="X442" s="14">
        <f t="shared" si="47"/>
        <v>12.272801270593583</v>
      </c>
      <c r="Y442" s="14">
        <f t="shared" si="48"/>
        <v>-0.7100056007533375</v>
      </c>
      <c r="Z442" s="15">
        <f t="shared" si="49"/>
        <v>11.785197463877385</v>
      </c>
    </row>
    <row r="443" spans="18:26" ht="12">
      <c r="R443" s="13">
        <v>6490.171397625191</v>
      </c>
      <c r="S443" s="13">
        <f t="shared" si="42"/>
        <v>0.9246927339373199</v>
      </c>
      <c r="T443" s="13">
        <f t="shared" si="43"/>
        <v>0.7958400939492</v>
      </c>
      <c r="U443" s="14">
        <f t="shared" si="44"/>
        <v>-0.0009787902762878886</v>
      </c>
      <c r="V443" s="14">
        <f t="shared" si="45"/>
        <v>-0.004838613936865244</v>
      </c>
      <c r="W443" s="14">
        <f t="shared" si="46"/>
        <v>0.2181307675040598</v>
      </c>
      <c r="X443" s="14">
        <f t="shared" si="47"/>
        <v>11.930362323479958</v>
      </c>
      <c r="Y443" s="14">
        <f t="shared" si="48"/>
        <v>-0.7710779983879843</v>
      </c>
      <c r="Z443" s="15">
        <f t="shared" si="49"/>
        <v>11.37159768838288</v>
      </c>
    </row>
    <row r="444" spans="18:26" ht="12">
      <c r="R444" s="13">
        <v>6619.974825577695</v>
      </c>
      <c r="S444" s="13">
        <f t="shared" si="42"/>
        <v>0.9431865886160661</v>
      </c>
      <c r="T444" s="13">
        <f t="shared" si="43"/>
        <v>0.8255766410338852</v>
      </c>
      <c r="U444" s="14">
        <f t="shared" si="44"/>
        <v>-0.0009347661836298649</v>
      </c>
      <c r="V444" s="14">
        <f t="shared" si="45"/>
        <v>-0.004620401429401788</v>
      </c>
      <c r="W444" s="14">
        <f t="shared" si="46"/>
        <v>0.20818735951326195</v>
      </c>
      <c r="X444" s="14">
        <f t="shared" si="47"/>
        <v>11.586753107868656</v>
      </c>
      <c r="Y444" s="14">
        <f t="shared" si="48"/>
        <v>-0.8397247306753846</v>
      </c>
      <c r="Z444" s="15">
        <f t="shared" si="49"/>
        <v>10.949660569093503</v>
      </c>
    </row>
    <row r="445" spans="18:26" ht="12">
      <c r="R445" s="13">
        <v>6752.374322089249</v>
      </c>
      <c r="S445" s="13">
        <f t="shared" si="42"/>
        <v>0.9620503203883876</v>
      </c>
      <c r="T445" s="13">
        <f t="shared" si="43"/>
        <v>0.8563216468207974</v>
      </c>
      <c r="U445" s="14">
        <f t="shared" si="44"/>
        <v>-0.0008924650408397294</v>
      </c>
      <c r="V445" s="14">
        <f t="shared" si="45"/>
        <v>-0.004410780633864908</v>
      </c>
      <c r="W445" s="14">
        <f t="shared" si="46"/>
        <v>0.19864483424019586</v>
      </c>
      <c r="X445" s="14">
        <f t="shared" si="47"/>
        <v>11.243804190009461</v>
      </c>
      <c r="Y445" s="14">
        <f t="shared" si="48"/>
        <v>-0.9172343495919661</v>
      </c>
      <c r="Z445" s="15">
        <f t="shared" si="49"/>
        <v>10.519911428982986</v>
      </c>
    </row>
    <row r="446" spans="18:26" ht="12">
      <c r="R446" s="13">
        <v>6887.421808531034</v>
      </c>
      <c r="S446" s="13">
        <f t="shared" si="42"/>
        <v>0.9812913267961552</v>
      </c>
      <c r="T446" s="13">
        <f t="shared" si="43"/>
        <v>0.8881007217375965</v>
      </c>
      <c r="U446" s="14">
        <f t="shared" si="44"/>
        <v>-0.0008518204141894081</v>
      </c>
      <c r="V446" s="14">
        <f t="shared" si="45"/>
        <v>-0.0042094162645631705</v>
      </c>
      <c r="W446" s="14">
        <f t="shared" si="46"/>
        <v>0.18948682765358904</v>
      </c>
      <c r="X446" s="14">
        <f t="shared" si="47"/>
        <v>10.902968107951502</v>
      </c>
      <c r="Y446" s="14">
        <f t="shared" si="48"/>
        <v>-1.0051767612641611</v>
      </c>
      <c r="Z446" s="15">
        <f t="shared" si="49"/>
        <v>10.082216937662176</v>
      </c>
    </row>
    <row r="447" spans="18:26" ht="12">
      <c r="R447" s="13">
        <v>7025.170244701655</v>
      </c>
      <c r="S447" s="13">
        <f t="shared" si="42"/>
        <v>1.0009171533320784</v>
      </c>
      <c r="T447" s="13">
        <f t="shared" si="43"/>
        <v>0.9209393583686406</v>
      </c>
      <c r="U447" s="14">
        <f t="shared" si="44"/>
        <v>-0.0008127684834089433</v>
      </c>
      <c r="V447" s="14">
        <f t="shared" si="45"/>
        <v>-0.0040159865260883665</v>
      </c>
      <c r="W447" s="14">
        <f t="shared" si="46"/>
        <v>0.18069768708425593</v>
      </c>
      <c r="X447" s="14">
        <f t="shared" si="47"/>
        <v>10.565378325497608</v>
      </c>
      <c r="Y447" s="14">
        <f t="shared" si="48"/>
        <v>-1.1054783937966652</v>
      </c>
      <c r="Z447" s="15">
        <f t="shared" si="49"/>
        <v>9.635768863775702</v>
      </c>
    </row>
    <row r="448" spans="18:26" ht="12">
      <c r="R448" s="13">
        <v>7165.673649595688</v>
      </c>
      <c r="S448" s="13">
        <f t="shared" si="42"/>
        <v>1.0209354963987198</v>
      </c>
      <c r="T448" s="13">
        <f t="shared" si="43"/>
        <v>0.9548628432613844</v>
      </c>
      <c r="U448" s="14">
        <f t="shared" si="44"/>
        <v>-0.0007752479412697078</v>
      </c>
      <c r="V448" s="14">
        <f t="shared" si="45"/>
        <v>-0.003830182571374574</v>
      </c>
      <c r="W448" s="14">
        <f t="shared" si="46"/>
        <v>0.17226243862011925</v>
      </c>
      <c r="X448" s="14">
        <f t="shared" si="47"/>
        <v>10.23190331540072</v>
      </c>
      <c r="Y448" s="14">
        <f t="shared" si="48"/>
        <v>-1.2205211677822665</v>
      </c>
      <c r="Z448" s="15">
        <f t="shared" si="49"/>
        <v>9.17903915572593</v>
      </c>
    </row>
    <row r="449" spans="18:26" ht="12">
      <c r="R449" s="13">
        <v>7308.987122587602</v>
      </c>
      <c r="S449" s="13">
        <f t="shared" si="42"/>
        <v>1.0413542063266943</v>
      </c>
      <c r="T449" s="13">
        <f t="shared" si="43"/>
        <v>0.9898961596863524</v>
      </c>
      <c r="U449" s="14">
        <f t="shared" si="44"/>
        <v>-0.0007391998972142433</v>
      </c>
      <c r="V449" s="14">
        <f t="shared" si="45"/>
        <v>-0.0036517079832995014</v>
      </c>
      <c r="W449" s="14">
        <f t="shared" si="46"/>
        <v>0.1641667561955173</v>
      </c>
      <c r="X449" s="14">
        <f t="shared" si="47"/>
        <v>9.903194366897303</v>
      </c>
      <c r="Y449" s="14">
        <f t="shared" si="48"/>
        <v>-1.3532740143660766</v>
      </c>
      <c r="Z449" s="15">
        <f t="shared" si="49"/>
        <v>8.70969620084623</v>
      </c>
    </row>
    <row r="450" spans="18:26" ht="12">
      <c r="R450" s="13">
        <v>7455.166865039354</v>
      </c>
      <c r="S450" s="13">
        <f t="shared" si="42"/>
        <v>1.0621812904532282</v>
      </c>
      <c r="T450" s="13">
        <f t="shared" si="43"/>
        <v>1.0260638806980633</v>
      </c>
      <c r="U450" s="14">
        <f t="shared" si="44"/>
        <v>-0.0007045677848653009</v>
      </c>
      <c r="V450" s="14">
        <f t="shared" si="45"/>
        <v>-0.003480278278813864</v>
      </c>
      <c r="W450" s="14">
        <f t="shared" si="46"/>
        <v>0.15639693228007384</v>
      </c>
      <c r="X450" s="14">
        <f t="shared" si="47"/>
        <v>9.579726754185668</v>
      </c>
      <c r="Y450" s="14">
        <f t="shared" si="48"/>
        <v>-1.5074693691658356</v>
      </c>
      <c r="Z450" s="15">
        <f t="shared" si="49"/>
        <v>8.224469471236226</v>
      </c>
    </row>
    <row r="451" spans="18:26" ht="12">
      <c r="R451" s="13">
        <v>7604.270202340142</v>
      </c>
      <c r="S451" s="13">
        <f t="shared" si="42"/>
        <v>1.0834249162622929</v>
      </c>
      <c r="T451" s="13">
        <f t="shared" si="43"/>
        <v>1.0633900518132537</v>
      </c>
      <c r="U451" s="14">
        <f t="shared" si="44"/>
        <v>-0.0006712972732977884</v>
      </c>
      <c r="V451" s="14">
        <f t="shared" si="45"/>
        <v>-0.003315620434618638</v>
      </c>
      <c r="W451" s="14">
        <f t="shared" si="46"/>
        <v>0.14893985007863353</v>
      </c>
      <c r="X451" s="14">
        <f t="shared" si="47"/>
        <v>9.261834518433929</v>
      </c>
      <c r="Y451" s="14">
        <f t="shared" si="48"/>
        <v>-1.687842534428202</v>
      </c>
      <c r="Z451" s="15">
        <f t="shared" si="49"/>
        <v>7.7189449163764445</v>
      </c>
    </row>
    <row r="452" spans="18:26" ht="12">
      <c r="R452" s="13">
        <v>7756.355606386945</v>
      </c>
      <c r="S452" s="13">
        <f t="shared" si="42"/>
        <v>1.1050934145875386</v>
      </c>
      <c r="T452" s="13">
        <f t="shared" si="43"/>
        <v>1.1018980625921029</v>
      </c>
      <c r="U452" s="14">
        <f t="shared" si="44"/>
        <v>-0.0006393361819082566</v>
      </c>
      <c r="V452" s="14">
        <f t="shared" si="45"/>
        <v>-0.0031574724334789694</v>
      </c>
      <c r="W452" s="14">
        <f t="shared" si="46"/>
        <v>0.14178295715955236</v>
      </c>
      <c r="X452" s="14">
        <f t="shared" si="47"/>
        <v>8.949739439900334</v>
      </c>
      <c r="Y452" s="14">
        <f t="shared" si="48"/>
        <v>-1.9004600555746078</v>
      </c>
      <c r="Z452" s="15">
        <f t="shared" si="49"/>
        <v>7.187265532869891</v>
      </c>
    </row>
    <row r="453" spans="18:26" ht="12">
      <c r="R453" s="13">
        <v>7911.482718514683</v>
      </c>
      <c r="S453" s="13">
        <f t="shared" si="42"/>
        <v>1.1271952828792895</v>
      </c>
      <c r="T453" s="13">
        <f t="shared" si="43"/>
        <v>1.1416105063783917</v>
      </c>
      <c r="U453" s="14">
        <f t="shared" si="44"/>
        <v>-0.0006086343987665721</v>
      </c>
      <c r="V453" s="14">
        <f t="shared" si="45"/>
        <v>-0.0030055828303190424</v>
      </c>
      <c r="W453" s="14">
        <f t="shared" si="46"/>
        <v>0.13491424043405986</v>
      </c>
      <c r="X453" s="14">
        <f t="shared" si="47"/>
        <v>8.643574912748516</v>
      </c>
      <c r="Y453" s="14">
        <f t="shared" si="48"/>
        <v>-2.1531760115277114</v>
      </c>
      <c r="Z453" s="15">
        <f t="shared" si="49"/>
        <v>6.621698924425778</v>
      </c>
    </row>
    <row r="454" spans="18:26" ht="12">
      <c r="R454" s="13">
        <v>8069.712372884977</v>
      </c>
      <c r="S454" s="13">
        <f t="shared" si="42"/>
        <v>1.1497391885368753</v>
      </c>
      <c r="T454" s="13">
        <f t="shared" si="43"/>
        <v>1.1825490274259751</v>
      </c>
      <c r="U454" s="14">
        <f t="shared" si="44"/>
        <v>-0.0005791438023174944</v>
      </c>
      <c r="V454" s="14">
        <f t="shared" si="45"/>
        <v>-0.002859710337252741</v>
      </c>
      <c r="W454" s="14">
        <f t="shared" si="46"/>
        <v>0.12832220241453451</v>
      </c>
      <c r="X454" s="14">
        <f t="shared" si="47"/>
        <v>8.343405457780541</v>
      </c>
      <c r="Y454" s="14">
        <f t="shared" si="48"/>
        <v>-2.456275405866087</v>
      </c>
      <c r="Z454" s="15">
        <f t="shared" si="49"/>
        <v>6.012013400189419</v>
      </c>
    </row>
    <row r="455" spans="18:26" ht="12">
      <c r="R455" s="13">
        <v>8231.106620342676</v>
      </c>
      <c r="S455" s="13">
        <f t="shared" si="42"/>
        <v>1.1727339723076127</v>
      </c>
      <c r="T455" s="13">
        <f t="shared" si="43"/>
        <v>1.2247341546121908</v>
      </c>
      <c r="U455" s="14">
        <f t="shared" si="44"/>
        <v>-0.000550818186325186</v>
      </c>
      <c r="V455" s="14">
        <f t="shared" si="45"/>
        <v>-0.0027196234268145325</v>
      </c>
      <c r="W455" s="14">
        <f t="shared" si="46"/>
        <v>0.12199583868426678</v>
      </c>
      <c r="X455" s="14">
        <f t="shared" si="47"/>
        <v>8.049242568008154</v>
      </c>
      <c r="Y455" s="14">
        <f t="shared" si="48"/>
        <v>-2.8233973683932554</v>
      </c>
      <c r="Z455" s="15">
        <f t="shared" si="49"/>
        <v>5.344570596686026</v>
      </c>
    </row>
    <row r="456" spans="18:26" ht="12">
      <c r="R456" s="13">
        <v>8395.72875274953</v>
      </c>
      <c r="S456" s="13">
        <f t="shared" si="42"/>
        <v>1.1961886517537652</v>
      </c>
      <c r="T456" s="13">
        <f t="shared" si="43"/>
        <v>1.2681851209144166</v>
      </c>
      <c r="U456" s="14">
        <f t="shared" si="44"/>
        <v>-0.0005236131879353678</v>
      </c>
      <c r="V456" s="14">
        <f t="shared" si="45"/>
        <v>-0.0025850999526373375</v>
      </c>
      <c r="W456" s="14">
        <f t="shared" si="46"/>
        <v>0.11592461651585584</v>
      </c>
      <c r="X456" s="14">
        <f t="shared" si="47"/>
        <v>7.761057511060759</v>
      </c>
      <c r="Y456" s="14">
        <f t="shared" si="48"/>
        <v>-3.272889061378189</v>
      </c>
      <c r="Z456" s="15">
        <f t="shared" si="49"/>
        <v>4.600984353057854</v>
      </c>
    </row>
    <row r="457" spans="18:26" ht="12">
      <c r="R457" s="13">
        <v>8563.64332780452</v>
      </c>
      <c r="S457" s="13">
        <f t="shared" si="42"/>
        <v>1.2201124247888404</v>
      </c>
      <c r="T457" s="13">
        <f t="shared" si="43"/>
        <v>1.3129196678045827</v>
      </c>
      <c r="U457" s="14">
        <f t="shared" si="44"/>
        <v>-0.0004974862187485662</v>
      </c>
      <c r="V457" s="14">
        <f t="shared" si="45"/>
        <v>-0.002455926786910645</v>
      </c>
      <c r="W457" s="14">
        <f t="shared" si="46"/>
        <v>0.11009845457953737</v>
      </c>
      <c r="X457" s="14">
        <f t="shared" si="47"/>
        <v>7.4787916305497815</v>
      </c>
      <c r="Y457" s="14">
        <f t="shared" si="48"/>
        <v>-3.8298486082405647</v>
      </c>
      <c r="Z457" s="15">
        <f t="shared" si="49"/>
        <v>3.7560880638830954</v>
      </c>
    </row>
    <row r="458" spans="18:26" ht="12">
      <c r="R458" s="13">
        <v>8734.91619436061</v>
      </c>
      <c r="S458" s="13">
        <f t="shared" si="42"/>
        <v>1.2445146732846173</v>
      </c>
      <c r="T458" s="13">
        <f t="shared" si="43"/>
        <v>1.3589538336989135</v>
      </c>
      <c r="U458" s="14">
        <f t="shared" si="44"/>
        <v>-0.000472396398822017</v>
      </c>
      <c r="V458" s="14">
        <f t="shared" si="45"/>
        <v>-0.0023318994739685017</v>
      </c>
      <c r="W458" s="14">
        <f t="shared" si="46"/>
        <v>0.10450770368683848</v>
      </c>
      <c r="X458" s="14">
        <f t="shared" si="47"/>
        <v>7.202364606910345</v>
      </c>
      <c r="Y458" s="14">
        <f t="shared" si="48"/>
        <v>-4.529328804046373</v>
      </c>
      <c r="Z458" s="15">
        <f t="shared" si="49"/>
        <v>2.77473921067802</v>
      </c>
    </row>
    <row r="459" spans="18:26" ht="12">
      <c r="R459" s="13">
        <v>8909.614518247823</v>
      </c>
      <c r="S459" s="13">
        <f t="shared" si="42"/>
        <v>1.2694049667503096</v>
      </c>
      <c r="T459" s="13">
        <f t="shared" si="43"/>
        <v>1.4063017255872312</v>
      </c>
      <c r="U459" s="14">
        <f t="shared" si="44"/>
        <v>-0.0004483044934846525</v>
      </c>
      <c r="V459" s="14">
        <f t="shared" si="45"/>
        <v>-0.0022128218994184046</v>
      </c>
      <c r="W459" s="14">
        <f t="shared" si="46"/>
        <v>0.09914312851868701</v>
      </c>
      <c r="X459" s="14">
        <f t="shared" si="47"/>
        <v>6.931681062789981</v>
      </c>
      <c r="Y459" s="14">
        <f t="shared" si="48"/>
        <v>-5.421633498428254</v>
      </c>
      <c r="Z459" s="15">
        <f t="shared" si="49"/>
        <v>1.6065295664875112</v>
      </c>
    </row>
    <row r="460" spans="18:26" ht="12">
      <c r="R460" s="13">
        <v>9087.80680861278</v>
      </c>
      <c r="S460" s="13">
        <f t="shared" si="42"/>
        <v>1.2947930660853157</v>
      </c>
      <c r="T460" s="13">
        <f t="shared" si="43"/>
        <v>1.4549752729590217</v>
      </c>
      <c r="U460" s="14">
        <f t="shared" si="44"/>
        <v>-0.0004251728528883447</v>
      </c>
      <c r="V460" s="14">
        <f t="shared" si="45"/>
        <v>-0.0020985059742275602</v>
      </c>
      <c r="W460" s="14">
        <f t="shared" si="46"/>
        <v>0.09399589029069544</v>
      </c>
      <c r="X460" s="14">
        <f t="shared" si="47"/>
        <v>6.666635831334485</v>
      </c>
      <c r="Y460" s="14">
        <f t="shared" si="48"/>
        <v>-6.581717782736954</v>
      </c>
      <c r="Z460" s="15">
        <f t="shared" si="49"/>
        <v>0.17639026006111092</v>
      </c>
    </row>
    <row r="461" spans="18:26" ht="12">
      <c r="R461" s="13">
        <v>9269.562944785037</v>
      </c>
      <c r="S461" s="13">
        <f t="shared" si="42"/>
        <v>1.3206889274070224</v>
      </c>
      <c r="T461" s="13">
        <f t="shared" si="43"/>
        <v>1.5049839631430761</v>
      </c>
      <c r="U461" s="14">
        <f t="shared" si="44"/>
        <v>-0.00040296535421013857</v>
      </c>
      <c r="V461" s="14">
        <f t="shared" si="45"/>
        <v>-0.0019887713332789048</v>
      </c>
      <c r="W461" s="14">
        <f t="shared" si="46"/>
        <v>0.08905753031184949</v>
      </c>
      <c r="X461" s="14">
        <f t="shared" si="47"/>
        <v>6.407118148412227</v>
      </c>
      <c r="Y461" s="14">
        <f t="shared" si="48"/>
        <v>-8.127442918499682</v>
      </c>
      <c r="Z461" s="15">
        <f t="shared" si="49"/>
        <v>-1.633658976463094</v>
      </c>
    </row>
    <row r="462" spans="18:26" ht="12">
      <c r="R462" s="13">
        <v>9454.954203680738</v>
      </c>
      <c r="S462" s="13">
        <f t="shared" si="42"/>
        <v>1.3471027059551628</v>
      </c>
      <c r="T462" s="13">
        <f t="shared" si="43"/>
        <v>1.5563345571853027</v>
      </c>
      <c r="U462" s="14">
        <f t="shared" si="44"/>
        <v>-0.000381647346431091</v>
      </c>
      <c r="V462" s="14">
        <f t="shared" si="45"/>
        <v>-0.0018834450478850684</v>
      </c>
      <c r="W462" s="14">
        <f t="shared" si="46"/>
        <v>0.08431995439600248</v>
      </c>
      <c r="X462" s="14">
        <f t="shared" si="47"/>
        <v>6.153014981559756</v>
      </c>
      <c r="Y462" s="14">
        <f t="shared" si="48"/>
        <v>-10.258706908406593</v>
      </c>
      <c r="Z462" s="15">
        <f t="shared" si="49"/>
        <v>-4.0236370648451505</v>
      </c>
    </row>
    <row r="463" spans="18:26" ht="12">
      <c r="R463" s="13">
        <v>9644.053287754354</v>
      </c>
      <c r="S463" s="13">
        <f t="shared" si="42"/>
        <v>1.3740447600742662</v>
      </c>
      <c r="T463" s="13">
        <f t="shared" si="43"/>
        <v>1.609030785406658</v>
      </c>
      <c r="U463" s="14">
        <f t="shared" si="44"/>
        <v>-0.00036118559761710856</v>
      </c>
      <c r="V463" s="14">
        <f t="shared" si="45"/>
        <v>-0.0017823613518253012</v>
      </c>
      <c r="W463" s="14">
        <f t="shared" si="46"/>
        <v>0.07977541808885569</v>
      </c>
      <c r="X463" s="14">
        <f t="shared" si="47"/>
        <v>5.904213668359565</v>
      </c>
      <c r="Y463" s="14">
        <f t="shared" si="48"/>
        <v>-13.344557648674694</v>
      </c>
      <c r="Z463" s="15">
        <f t="shared" si="49"/>
        <v>-7.362712109175716</v>
      </c>
    </row>
    <row r="464" spans="18:26" ht="12">
      <c r="R464" s="13">
        <v>9836.934353509441</v>
      </c>
      <c r="S464" s="13">
        <f t="shared" si="42"/>
        <v>1.4015256552757516</v>
      </c>
      <c r="T464" s="13">
        <f t="shared" si="43"/>
        <v>1.6630730218116418</v>
      </c>
      <c r="U464" s="14">
        <f t="shared" si="44"/>
        <v>-0.00034154824464227573</v>
      </c>
      <c r="V464" s="14">
        <f t="shared" si="45"/>
        <v>-0.0016853613805096757</v>
      </c>
      <c r="W464" s="14">
        <f t="shared" si="46"/>
        <v>0.07541651267603822</v>
      </c>
      <c r="X464" s="14">
        <f t="shared" si="47"/>
        <v>5.660604004020524</v>
      </c>
      <c r="Y464" s="14">
        <f t="shared" si="48"/>
        <v>-17.958771956146137</v>
      </c>
      <c r="Z464" s="15">
        <f t="shared" si="49"/>
        <v>-12.224778349074727</v>
      </c>
    </row>
    <row r="465" spans="18:26" ht="12">
      <c r="R465" s="13">
        <v>10033.67304057963</v>
      </c>
      <c r="S465" s="13">
        <f t="shared" si="42"/>
        <v>1.4295561683812665</v>
      </c>
      <c r="T465" s="13">
        <f t="shared" si="43"/>
        <v>1.718457936559354</v>
      </c>
      <c r="U465" s="14">
        <f t="shared" si="44"/>
        <v>-0.00032270474529827453</v>
      </c>
      <c r="V465" s="14">
        <f t="shared" si="45"/>
        <v>-0.0015922929228802118</v>
      </c>
      <c r="W465" s="14">
        <f t="shared" si="46"/>
        <v>0.07123615194097166</v>
      </c>
      <c r="X465" s="14">
        <f t="shared" si="47"/>
        <v>5.422079891050485</v>
      </c>
      <c r="Y465" s="14">
        <f t="shared" si="48"/>
        <v>-20.948006492227435</v>
      </c>
      <c r="Z465" s="15">
        <f t="shared" si="49"/>
        <v>-15.456605446904156</v>
      </c>
    </row>
    <row r="466" spans="18:26" ht="12">
      <c r="R466" s="13">
        <v>10234.346501391223</v>
      </c>
      <c r="S466" s="13">
        <f t="shared" si="42"/>
        <v>1.458147291748892</v>
      </c>
      <c r="T466" s="13">
        <f t="shared" si="43"/>
        <v>1.7751781257656125</v>
      </c>
      <c r="U466" s="14">
        <f t="shared" si="44"/>
        <v>-0.0003046258327250584</v>
      </c>
      <c r="V466" s="14">
        <f t="shared" si="45"/>
        <v>-0.0015030101857496092</v>
      </c>
      <c r="W466" s="14">
        <f t="shared" si="46"/>
        <v>0.06722755964402793</v>
      </c>
      <c r="X466" s="14">
        <f t="shared" si="47"/>
        <v>5.188540642092016</v>
      </c>
      <c r="Y466" s="14">
        <f t="shared" si="48"/>
        <v>-16.095892700591904</v>
      </c>
      <c r="Z466" s="15">
        <f t="shared" si="49"/>
        <v>-10.841932134874334</v>
      </c>
    </row>
    <row r="467" spans="18:26" ht="12">
      <c r="R467" s="13">
        <v>10439.033431419048</v>
      </c>
      <c r="S467" s="13">
        <f t="shared" si="42"/>
        <v>1.4873102375838696</v>
      </c>
      <c r="T467" s="13">
        <f t="shared" si="43"/>
        <v>1.8332217179784132</v>
      </c>
      <c r="U467" s="14">
        <f t="shared" si="44"/>
        <v>-0.00028728347214812544</v>
      </c>
      <c r="V467" s="14">
        <f t="shared" si="45"/>
        <v>-0.0014173735702680546</v>
      </c>
      <c r="W467" s="14">
        <f t="shared" si="46"/>
        <v>0.06338425769741018</v>
      </c>
      <c r="X467" s="14">
        <f t="shared" si="47"/>
        <v>4.9598920093514955</v>
      </c>
      <c r="Y467" s="14">
        <f t="shared" si="48"/>
        <v>-11.911144293156067</v>
      </c>
      <c r="Z467" s="15">
        <f t="shared" si="49"/>
        <v>-6.889572683149577</v>
      </c>
    </row>
    <row r="468" spans="18:26" ht="12">
      <c r="R468" s="13">
        <v>10647.81410004743</v>
      </c>
      <c r="S468" s="13">
        <f t="shared" si="42"/>
        <v>1.5170564423355475</v>
      </c>
      <c r="T468" s="13">
        <f t="shared" si="43"/>
        <v>1.8925719567624746</v>
      </c>
      <c r="U468" s="14">
        <f t="shared" si="44"/>
        <v>-0.00027065081985266914</v>
      </c>
      <c r="V468" s="14">
        <f t="shared" si="45"/>
        <v>-0.0013352494602836273</v>
      </c>
      <c r="W468" s="14">
        <f t="shared" si="46"/>
        <v>0.059700055013010456</v>
      </c>
      <c r="X468" s="14">
        <f t="shared" si="47"/>
        <v>4.736046999830153</v>
      </c>
      <c r="Y468" s="14">
        <f t="shared" si="48"/>
        <v>-9.091895236276763</v>
      </c>
      <c r="Z468" s="15">
        <f t="shared" si="49"/>
        <v>-4.297754081713736</v>
      </c>
    </row>
    <row r="469" spans="18:26" ht="12">
      <c r="R469" s="13">
        <v>10860.770382048378</v>
      </c>
      <c r="S469" s="13">
        <f t="shared" si="42"/>
        <v>1.5473975711822583</v>
      </c>
      <c r="T469" s="13">
        <f t="shared" si="43"/>
        <v>1.9532067589444848</v>
      </c>
      <c r="U469" s="14">
        <f t="shared" si="44"/>
        <v>-0.00025470218438616854</v>
      </c>
      <c r="V469" s="14">
        <f t="shared" si="45"/>
        <v>-0.0012565100223937975</v>
      </c>
      <c r="W469" s="14">
        <f t="shared" si="46"/>
        <v>0.05616903700336895</v>
      </c>
      <c r="X469" s="14">
        <f t="shared" si="47"/>
        <v>4.516926524124855</v>
      </c>
      <c r="Y469" s="14">
        <f t="shared" si="48"/>
        <v>-7.09925844987183</v>
      </c>
      <c r="Z469" s="15">
        <f t="shared" si="49"/>
        <v>-2.527674100950386</v>
      </c>
    </row>
    <row r="470" spans="18:26" ht="12">
      <c r="R470" s="13">
        <v>11077.985789689346</v>
      </c>
      <c r="S470" s="13">
        <f t="shared" si="42"/>
        <v>1.5783455226059036</v>
      </c>
      <c r="T470" s="13">
        <f t="shared" si="43"/>
        <v>2.015098248211967</v>
      </c>
      <c r="U470" s="14">
        <f t="shared" si="44"/>
        <v>-0.00023941298997431915</v>
      </c>
      <c r="V470" s="14">
        <f t="shared" si="45"/>
        <v>-0.0011810330175334727</v>
      </c>
      <c r="W470" s="14">
        <f t="shared" si="46"/>
        <v>0.05278555571877597</v>
      </c>
      <c r="X470" s="14">
        <f t="shared" si="47"/>
        <v>4.302459917377476</v>
      </c>
      <c r="Y470" s="14">
        <f t="shared" si="48"/>
        <v>-5.6343120896319006</v>
      </c>
      <c r="Z470" s="15">
        <f t="shared" si="49"/>
        <v>-1.2804870625431564</v>
      </c>
    </row>
    <row r="471" spans="18:26" ht="12">
      <c r="R471" s="13">
        <v>11299.545505483133</v>
      </c>
      <c r="S471" s="13">
        <f t="shared" si="42"/>
        <v>1.6099124330580215</v>
      </c>
      <c r="T471" s="13">
        <f t="shared" si="43"/>
        <v>2.0782122639285543</v>
      </c>
      <c r="U471" s="14">
        <f t="shared" si="44"/>
        <v>-0.00022475974211122463</v>
      </c>
      <c r="V471" s="14">
        <f t="shared" si="45"/>
        <v>-0.0011087016240027836</v>
      </c>
      <c r="W471" s="14">
        <f t="shared" si="46"/>
        <v>0.0495442206065313</v>
      </c>
      <c r="X471" s="14">
        <f t="shared" si="47"/>
        <v>4.092585363581714</v>
      </c>
      <c r="Y471" s="14">
        <f t="shared" si="48"/>
        <v>-4.529003675043864</v>
      </c>
      <c r="Z471" s="15">
        <f t="shared" si="49"/>
        <v>-0.38820755222173275</v>
      </c>
    </row>
    <row r="472" spans="18:26" ht="12">
      <c r="R472" s="13">
        <v>11525.536415592796</v>
      </c>
      <c r="S472" s="13">
        <f t="shared" si="42"/>
        <v>1.6421106817191822</v>
      </c>
      <c r="T472" s="13">
        <f t="shared" si="43"/>
        <v>2.1425078452306043</v>
      </c>
      <c r="U472" s="14">
        <f t="shared" si="44"/>
        <v>-0.00021071999536381725</v>
      </c>
      <c r="V472" s="14">
        <f t="shared" si="45"/>
        <v>-0.001039404271857336</v>
      </c>
      <c r="W472" s="14">
        <f t="shared" si="46"/>
        <v>0.0464398898814391</v>
      </c>
      <c r="X472" s="14">
        <f t="shared" si="47"/>
        <v>3.887250248551777</v>
      </c>
      <c r="Y472" s="14">
        <f t="shared" si="48"/>
        <v>-3.67961431491475</v>
      </c>
      <c r="Z472" s="15">
        <f t="shared" si="49"/>
        <v>0.25282569925124454</v>
      </c>
    </row>
    <row r="473" spans="18:26" ht="12">
      <c r="R473" s="13">
        <v>11756.047143904652</v>
      </c>
      <c r="S473" s="13">
        <f t="shared" si="42"/>
        <v>1.674952895353566</v>
      </c>
      <c r="T473" s="13">
        <f t="shared" si="43"/>
        <v>2.2079366907081166</v>
      </c>
      <c r="U473" s="14">
        <f t="shared" si="44"/>
        <v>-0.00019727232336563816</v>
      </c>
      <c r="V473" s="14">
        <f t="shared" si="45"/>
        <v>-0.0009730344887159958</v>
      </c>
      <c r="W473" s="14">
        <f t="shared" si="46"/>
        <v>0.043467662499923065</v>
      </c>
      <c r="X473" s="14">
        <f t="shared" si="47"/>
        <v>3.6864114621342203</v>
      </c>
      <c r="Y473" s="14">
        <f t="shared" si="48"/>
        <v>-3.0174710114233854</v>
      </c>
      <c r="Z473" s="15">
        <f t="shared" si="49"/>
        <v>0.7112378063986764</v>
      </c>
    </row>
    <row r="474" spans="18:26" ht="12">
      <c r="R474" s="13">
        <v>11991.168086782745</v>
      </c>
      <c r="S474" s="13">
        <f t="shared" si="42"/>
        <v>1.7084519532606373</v>
      </c>
      <c r="T474" s="13">
        <f t="shared" si="43"/>
        <v>2.2744425942511834</v>
      </c>
      <c r="U474" s="14">
        <f t="shared" si="44"/>
        <v>-0.00018439629103816912</v>
      </c>
      <c r="V474" s="14">
        <f t="shared" si="45"/>
        <v>-0.0009094907569879851</v>
      </c>
      <c r="W474" s="14">
        <f t="shared" si="46"/>
        <v>0.04062287073351545</v>
      </c>
      <c r="X474" s="14">
        <f t="shared" si="47"/>
        <v>3.4900356664717402</v>
      </c>
      <c r="Y474" s="14">
        <f t="shared" si="48"/>
        <v>-2.4949726412964797</v>
      </c>
      <c r="Z474" s="15">
        <f t="shared" si="49"/>
        <v>1.0345920088607499</v>
      </c>
    </row>
    <row r="475" spans="18:26" ht="12">
      <c r="R475" s="13">
        <v>12230.9914485184</v>
      </c>
      <c r="S475" s="13">
        <f t="shared" si="42"/>
        <v>1.7426209923258498</v>
      </c>
      <c r="T475" s="13">
        <f t="shared" si="43"/>
        <v>2.3419608579659075</v>
      </c>
      <c r="U475" s="14">
        <f t="shared" si="44"/>
        <v>-0.00017207242907701925</v>
      </c>
      <c r="V475" s="14">
        <f t="shared" si="45"/>
        <v>-0.0008486763827457722</v>
      </c>
      <c r="W475" s="14">
        <f t="shared" si="46"/>
        <v>0.037901073341187086</v>
      </c>
      <c r="X475" s="14">
        <f t="shared" si="47"/>
        <v>3.298099544122328</v>
      </c>
      <c r="Y475" s="14">
        <f t="shared" si="48"/>
        <v>-2.0781405017709673</v>
      </c>
      <c r="Z475" s="15">
        <f t="shared" si="49"/>
        <v>1.2568393668807252</v>
      </c>
    </row>
    <row r="476" spans="18:26" ht="12">
      <c r="R476" s="13">
        <v>12475.611277488768</v>
      </c>
      <c r="S476" s="13">
        <f t="shared" si="42"/>
        <v>1.777473412172367</v>
      </c>
      <c r="T476" s="13">
        <f t="shared" si="43"/>
        <v>2.4104176834357385</v>
      </c>
      <c r="U476" s="14">
        <f t="shared" si="44"/>
        <v>-0.00016028221075004012</v>
      </c>
      <c r="V476" s="14">
        <f t="shared" si="45"/>
        <v>-0.0007904993763716561</v>
      </c>
      <c r="W476" s="14">
        <f t="shared" si="46"/>
        <v>0.03529804934399028</v>
      </c>
      <c r="X476" s="14">
        <f t="shared" si="47"/>
        <v>3.1105900374508497</v>
      </c>
      <c r="Y476" s="14">
        <f t="shared" si="48"/>
        <v>-1.7422364476725205</v>
      </c>
      <c r="Z476" s="15">
        <f t="shared" si="49"/>
        <v>1.4027008575351978</v>
      </c>
    </row>
    <row r="477" spans="18:26" ht="12">
      <c r="R477" s="13">
        <v>12725.123503038543</v>
      </c>
      <c r="S477" s="13">
        <f t="shared" si="42"/>
        <v>1.8130228804158142</v>
      </c>
      <c r="T477" s="13">
        <f t="shared" si="43"/>
        <v>2.4797295430303663</v>
      </c>
      <c r="U477" s="14">
        <f t="shared" si="44"/>
        <v>-0.00014900803107131821</v>
      </c>
      <c r="V477" s="14">
        <f t="shared" si="45"/>
        <v>-0.0007348723453484141</v>
      </c>
      <c r="W477" s="14">
        <f t="shared" si="46"/>
        <v>0.03280979240984827</v>
      </c>
      <c r="X477" s="14">
        <f t="shared" si="47"/>
        <v>2.9275045888255153</v>
      </c>
      <c r="Y477" s="14">
        <f t="shared" si="48"/>
        <v>-1.4689871919471917</v>
      </c>
      <c r="Z477" s="15">
        <f t="shared" si="49"/>
        <v>1.4904433089117521</v>
      </c>
    </row>
    <row r="478" spans="18:26" ht="12">
      <c r="R478" s="13">
        <v>12979.625973099315</v>
      </c>
      <c r="S478" s="13">
        <f t="shared" si="42"/>
        <v>1.8492833380241305</v>
      </c>
      <c r="T478" s="13">
        <f t="shared" si="43"/>
        <v>2.549802533449977</v>
      </c>
      <c r="U478" s="14">
        <f t="shared" si="44"/>
        <v>-0.0001382331884620669</v>
      </c>
      <c r="V478" s="14">
        <f t="shared" si="45"/>
        <v>-0.0006817123995830343</v>
      </c>
      <c r="W478" s="14">
        <f t="shared" si="46"/>
        <v>0.030432505861191395</v>
      </c>
      <c r="X478" s="14">
        <f t="shared" si="47"/>
        <v>2.7488513896751545</v>
      </c>
      <c r="Y478" s="14">
        <f t="shared" si="48"/>
        <v>-1.244735548039393</v>
      </c>
      <c r="Z478" s="15">
        <f t="shared" si="49"/>
        <v>1.533728401908908</v>
      </c>
    </row>
    <row r="479" spans="18:26" ht="12">
      <c r="R479" s="13">
        <v>13239.218492561302</v>
      </c>
      <c r="S479" s="13">
        <f t="shared" si="42"/>
        <v>1.8862690047846133</v>
      </c>
      <c r="T479" s="13">
        <f t="shared" si="43"/>
        <v>2.620531714243182</v>
      </c>
      <c r="U479" s="14">
        <f t="shared" si="44"/>
        <v>-0.00012794186896059045</v>
      </c>
      <c r="V479" s="14">
        <f t="shared" si="45"/>
        <v>-0.0006309410697493689</v>
      </c>
      <c r="W479" s="14">
        <f t="shared" si="46"/>
        <v>0.028162598323536514</v>
      </c>
      <c r="X479" s="14">
        <f t="shared" si="47"/>
        <v>2.574649645320953</v>
      </c>
      <c r="Y479" s="14">
        <f t="shared" si="48"/>
        <v>-1.0591686287530455</v>
      </c>
      <c r="Z479" s="15">
        <f t="shared" si="49"/>
        <v>1.5428847319527341</v>
      </c>
    </row>
    <row r="480" spans="18:26" ht="12">
      <c r="R480" s="13">
        <v>13504.002862412528</v>
      </c>
      <c r="S480" s="13">
        <f t="shared" si="42"/>
        <v>1.9239943848803054</v>
      </c>
      <c r="T480" s="13">
        <f t="shared" si="43"/>
        <v>2.6918004346579574</v>
      </c>
      <c r="U480" s="14">
        <f t="shared" si="44"/>
        <v>-0.00011811913318204859</v>
      </c>
      <c r="V480" s="14">
        <f t="shared" si="45"/>
        <v>-0.0005824842393540308</v>
      </c>
      <c r="W480" s="14">
        <f t="shared" si="46"/>
        <v>0.025996680039233055</v>
      </c>
      <c r="X480" s="14">
        <f t="shared" si="47"/>
        <v>2.4049298616304933</v>
      </c>
      <c r="Y480" s="14">
        <f t="shared" si="48"/>
        <v>-0.9044243840969055</v>
      </c>
      <c r="Z480" s="15">
        <f t="shared" si="49"/>
        <v>1.5258015542002847</v>
      </c>
    </row>
    <row r="481" spans="18:26" ht="12">
      <c r="R481" s="13">
        <v>13774.08291966078</v>
      </c>
      <c r="S481" s="13">
        <f t="shared" si="42"/>
        <v>1.9624742725779116</v>
      </c>
      <c r="T481" s="13">
        <f t="shared" si="43"/>
        <v>2.763479652882128</v>
      </c>
      <c r="U481" s="14">
        <f t="shared" si="44"/>
        <v>-0.00010875090613282623</v>
      </c>
      <c r="V481" s="14">
        <f t="shared" si="45"/>
        <v>-0.0005362720912476249</v>
      </c>
      <c r="W481" s="14">
        <f t="shared" si="46"/>
        <v>0.023931559877494735</v>
      </c>
      <c r="X481" s="14">
        <f t="shared" si="47"/>
        <v>2.239734158907515</v>
      </c>
      <c r="Y481" s="14">
        <f t="shared" si="48"/>
        <v>-0.7744547291228779</v>
      </c>
      <c r="Z481" s="15">
        <f t="shared" si="49"/>
        <v>1.4885659666647513</v>
      </c>
    </row>
    <row r="482" spans="18:26" ht="12">
      <c r="R482" s="13">
        <v>14049.564578053994</v>
      </c>
      <c r="S482" s="13">
        <f t="shared" si="42"/>
        <v>2.00172375802947</v>
      </c>
      <c r="T482" s="13">
        <f t="shared" si="43"/>
        <v>2.8354272525090227</v>
      </c>
      <c r="U482" s="14">
        <f t="shared" si="44"/>
        <v>-9.982397012109345E-05</v>
      </c>
      <c r="V482" s="14">
        <f t="shared" si="45"/>
        <v>-0.0004922390696009415</v>
      </c>
      <c r="W482" s="14">
        <f t="shared" si="46"/>
        <v>0.021964243079843015</v>
      </c>
      <c r="X482" s="14">
        <f t="shared" si="47"/>
        <v>2.079116617994126</v>
      </c>
      <c r="Y482" s="14">
        <f t="shared" si="48"/>
        <v>-0.6645664907886963</v>
      </c>
      <c r="Z482" s="15">
        <f t="shared" si="49"/>
        <v>1.4359223072455507</v>
      </c>
    </row>
    <row r="483" spans="18:26" ht="12">
      <c r="R483" s="13">
        <v>14330.555869615075</v>
      </c>
      <c r="S483" s="13">
        <f t="shared" si="42"/>
        <v>2.0417582331900594</v>
      </c>
      <c r="T483" s="13">
        <f t="shared" si="43"/>
        <v>2.9074873619306074</v>
      </c>
      <c r="U483" s="14">
        <f t="shared" si="44"/>
        <v>-9.132596097671808E-05</v>
      </c>
      <c r="V483" s="14">
        <f t="shared" si="45"/>
        <v>-0.0004503238584963043</v>
      </c>
      <c r="W483" s="14">
        <f t="shared" si="46"/>
        <v>0.02009192978914065</v>
      </c>
      <c r="X483" s="14">
        <f t="shared" si="47"/>
        <v>1.9231436632982595</v>
      </c>
      <c r="Y483" s="14">
        <f t="shared" si="48"/>
        <v>-0.5710873981426441</v>
      </c>
      <c r="Z483" s="15">
        <f t="shared" si="49"/>
        <v>1.371606545125283</v>
      </c>
    </row>
    <row r="484" spans="18:26" ht="12">
      <c r="R484" s="13">
        <v>14617.166987007377</v>
      </c>
      <c r="S484" s="13">
        <f t="shared" si="42"/>
        <v>2.0825933978538607</v>
      </c>
      <c r="T484" s="13">
        <f t="shared" si="43"/>
        <v>2.9794896833199775</v>
      </c>
      <c r="U484" s="14">
        <f t="shared" si="44"/>
        <v>-8.324536789849901E-05</v>
      </c>
      <c r="V484" s="14">
        <f t="shared" si="45"/>
        <v>-0.0004104693784796609</v>
      </c>
      <c r="W484" s="14">
        <f t="shared" si="46"/>
        <v>0.018312014421049128</v>
      </c>
      <c r="X484" s="14">
        <f t="shared" si="47"/>
        <v>1.7718944873516147</v>
      </c>
      <c r="Y484" s="14">
        <f t="shared" si="48"/>
        <v>-0.49112096523546783</v>
      </c>
      <c r="Z484" s="15">
        <f t="shared" si="49"/>
        <v>1.298591821790818</v>
      </c>
    </row>
    <row r="485" spans="18:26" ht="12">
      <c r="R485" s="13">
        <v>14909.510326747524</v>
      </c>
      <c r="S485" s="13">
        <f t="shared" si="42"/>
        <v>2.124245265810938</v>
      </c>
      <c r="T485" s="13">
        <f t="shared" si="43"/>
        <v>3.0512488389226804</v>
      </c>
      <c r="U485" s="14">
        <f t="shared" si="44"/>
        <v>-7.557153720583187E-05</v>
      </c>
      <c r="V485" s="14">
        <f t="shared" si="45"/>
        <v>-0.00037262280281424864</v>
      </c>
      <c r="W485" s="14">
        <f t="shared" si="46"/>
        <v>0.016622085949133947</v>
      </c>
      <c r="X485" s="14">
        <f t="shared" si="47"/>
        <v>1.6254615215421326</v>
      </c>
      <c r="Y485" s="14">
        <f t="shared" si="48"/>
        <v>-0.42236513966665923</v>
      </c>
      <c r="Z485" s="15">
        <f t="shared" si="49"/>
        <v>1.2192702734845873</v>
      </c>
    </row>
    <row r="486" spans="18:26" ht="12">
      <c r="R486" s="13">
        <v>15207.700533282476</v>
      </c>
      <c r="S486" s="13">
        <f t="shared" si="42"/>
        <v>2.1667301711271567</v>
      </c>
      <c r="T486" s="13">
        <f t="shared" si="43"/>
        <v>3.1225637435363387</v>
      </c>
      <c r="U486" s="14">
        <f t="shared" si="44"/>
        <v>-6.829468049396326E-05</v>
      </c>
      <c r="V486" s="14">
        <f t="shared" si="45"/>
        <v>-0.000336735595357851</v>
      </c>
      <c r="W486" s="14">
        <f t="shared" si="46"/>
        <v>0.015019929189225678</v>
      </c>
      <c r="X486" s="14">
        <f t="shared" si="47"/>
        <v>1.4839509578479095</v>
      </c>
      <c r="Y486" s="14">
        <f t="shared" si="48"/>
        <v>-0.36297706646234107</v>
      </c>
      <c r="Z486" s="15">
        <f t="shared" si="49"/>
        <v>1.1355887902989423</v>
      </c>
    </row>
    <row r="487" spans="18:26" ht="12">
      <c r="R487" s="13">
        <v>15511.854543948126</v>
      </c>
      <c r="S487" s="13">
        <f t="shared" si="42"/>
        <v>2.2100647745497</v>
      </c>
      <c r="T487" s="13">
        <f t="shared" si="43"/>
        <v>3.1932170133240865</v>
      </c>
      <c r="U487" s="14">
        <f t="shared" si="44"/>
        <v>-6.140588758363208E-05</v>
      </c>
      <c r="V487" s="14">
        <f t="shared" si="45"/>
        <v>-0.000302763572435083</v>
      </c>
      <c r="W487" s="14">
        <f t="shared" si="46"/>
        <v>0.013503527185863007</v>
      </c>
      <c r="X487" s="14">
        <f t="shared" si="47"/>
        <v>1.347483326729689</v>
      </c>
      <c r="Y487" s="14">
        <f t="shared" si="48"/>
        <v>-0.31147146302926854</v>
      </c>
      <c r="Z487" s="15">
        <f t="shared" si="49"/>
        <v>1.0491512214262648</v>
      </c>
    </row>
    <row r="488" spans="18:26" ht="12">
      <c r="R488" s="13">
        <v>15822.09163482709</v>
      </c>
      <c r="S488" s="13">
        <f t="shared" si="42"/>
        <v>2.254266070040694</v>
      </c>
      <c r="T488" s="13">
        <f t="shared" si="43"/>
        <v>3.262974422481918</v>
      </c>
      <c r="U488" s="14">
        <f t="shared" si="44"/>
        <v>-5.4897144899257455E-05</v>
      </c>
      <c r="V488" s="14">
        <f t="shared" si="45"/>
        <v>-0.0002706669915397697</v>
      </c>
      <c r="W488" s="14">
        <f t="shared" si="46"/>
        <v>0.012071064823764743</v>
      </c>
      <c r="X488" s="14">
        <f t="shared" si="47"/>
        <v>1.2161941368275757</v>
      </c>
      <c r="Y488" s="14">
        <f t="shared" si="48"/>
        <v>-0.26664367955060775</v>
      </c>
      <c r="Z488" s="15">
        <f t="shared" si="49"/>
        <v>0.9612959579642937</v>
      </c>
    </row>
    <row r="489" spans="18:26" ht="12">
      <c r="R489" s="13">
        <v>16138.533467523632</v>
      </c>
      <c r="S489" s="13">
        <f t="shared" si="42"/>
        <v>2.2993513914415082</v>
      </c>
      <c r="T489" s="13">
        <f t="shared" si="43"/>
        <v>3.3315844207643246</v>
      </c>
      <c r="U489" s="14">
        <f t="shared" si="44"/>
        <v>-4.876135991338515E-05</v>
      </c>
      <c r="V489" s="14">
        <f t="shared" si="45"/>
        <v>-0.0002404106701749953</v>
      </c>
      <c r="W489" s="14">
        <f t="shared" si="46"/>
        <v>0.010720933811413147</v>
      </c>
      <c r="X489" s="14">
        <f t="shared" si="47"/>
        <v>1.0902345827717426</v>
      </c>
      <c r="Y489" s="14">
        <f t="shared" si="48"/>
        <v>-0.22751102823355263</v>
      </c>
      <c r="Z489" s="15">
        <f t="shared" si="49"/>
        <v>0.8731553163195147</v>
      </c>
    </row>
    <row r="490" spans="18:26" ht="12">
      <c r="R490" s="13">
        <v>16461.304136874103</v>
      </c>
      <c r="S490" s="13">
        <f t="shared" si="42"/>
        <v>2.345338419270338</v>
      </c>
      <c r="T490" s="13">
        <f t="shared" si="43"/>
        <v>3.398777726465702</v>
      </c>
      <c r="U490" s="14">
        <f t="shared" si="44"/>
        <v>-4.299239250116216E-05</v>
      </c>
      <c r="V490" s="14">
        <f t="shared" si="45"/>
        <v>-0.00021196413883828313</v>
      </c>
      <c r="W490" s="14">
        <f t="shared" si="46"/>
        <v>0.009451739212536836</v>
      </c>
      <c r="X490" s="14">
        <f t="shared" si="47"/>
        <v>0.9697723282832396</v>
      </c>
      <c r="Y490" s="14">
        <f t="shared" si="48"/>
        <v>-0.19326773672235698</v>
      </c>
      <c r="Z490" s="15">
        <f t="shared" si="49"/>
        <v>0.78570137424208</v>
      </c>
    </row>
    <row r="491" spans="18:26" ht="12">
      <c r="R491" s="13">
        <v>16790.530219611584</v>
      </c>
      <c r="S491" s="13">
        <f t="shared" si="42"/>
        <v>2.3922451876557447</v>
      </c>
      <c r="T491" s="13">
        <f t="shared" si="43"/>
        <v>3.46426701115406</v>
      </c>
      <c r="U491" s="14">
        <f t="shared" si="44"/>
        <v>-3.758509415696665E-05</v>
      </c>
      <c r="V491" s="14">
        <f t="shared" si="45"/>
        <v>-0.00018530183288234525</v>
      </c>
      <c r="W491" s="14">
        <f t="shared" si="46"/>
        <v>0.008262307735828145</v>
      </c>
      <c r="X491" s="14">
        <f t="shared" si="47"/>
        <v>0.8549923728442916</v>
      </c>
      <c r="Y491" s="14">
        <f t="shared" si="48"/>
        <v>-0.16325014100563928</v>
      </c>
      <c r="Z491" s="15">
        <f t="shared" si="49"/>
        <v>0.6997816526474412</v>
      </c>
    </row>
    <row r="492" spans="18:26" ht="12">
      <c r="R492" s="13">
        <v>17126.340824003815</v>
      </c>
      <c r="S492" s="13">
        <f t="shared" si="42"/>
        <v>2.4400900914088597</v>
      </c>
      <c r="T492" s="13">
        <f t="shared" si="43"/>
        <v>3.5277466942525684</v>
      </c>
      <c r="U492" s="14">
        <f t="shared" si="44"/>
        <v>-3.253535619940351E-05</v>
      </c>
      <c r="V492" s="14">
        <f t="shared" si="45"/>
        <v>-0.00016040332894817766</v>
      </c>
      <c r="W492" s="14">
        <f t="shared" si="46"/>
        <v>0.007151698034908449</v>
      </c>
      <c r="X492" s="14">
        <f t="shared" si="47"/>
        <v>0.7460980116050386</v>
      </c>
      <c r="Y492" s="14">
        <f t="shared" si="48"/>
        <v>-0.13690963540697654</v>
      </c>
      <c r="Z492" s="15">
        <f t="shared" si="49"/>
        <v>0.616147135547823</v>
      </c>
    </row>
    <row r="493" spans="18:26" ht="12">
      <c r="R493" s="13">
        <v>17468.86764048389</v>
      </c>
      <c r="S493" s="13">
        <f t="shared" si="42"/>
        <v>2.4888918932370365</v>
      </c>
      <c r="T493" s="13">
        <f t="shared" si="43"/>
        <v>3.5888928674543488</v>
      </c>
      <c r="U493" s="14">
        <f t="shared" si="44"/>
        <v>-2.7840168403514554E-05</v>
      </c>
      <c r="V493" s="14">
        <f t="shared" si="45"/>
        <v>-0.00013725363274375013</v>
      </c>
      <c r="W493" s="14">
        <f t="shared" si="46"/>
        <v>0.006119213320889827</v>
      </c>
      <c r="X493" s="14">
        <f t="shared" si="47"/>
        <v>0.6433118999251821</v>
      </c>
      <c r="Y493" s="14">
        <f t="shared" si="48"/>
        <v>-0.11379154801476599</v>
      </c>
      <c r="Z493" s="15">
        <f t="shared" si="49"/>
        <v>0.5354744714301587</v>
      </c>
    </row>
    <row r="494" spans="18:26" ht="12">
      <c r="R494" s="13">
        <v>17818.24499329357</v>
      </c>
      <c r="S494" s="13">
        <f t="shared" si="42"/>
        <v>2.5386697311017774</v>
      </c>
      <c r="T494" s="13">
        <f t="shared" si="43"/>
        <v>3.647363370923182</v>
      </c>
      <c r="U494" s="14">
        <f t="shared" si="44"/>
        <v>-2.3497689651819087E-05</v>
      </c>
      <c r="V494" s="14">
        <f t="shared" si="45"/>
        <v>-0.00011584352636617723</v>
      </c>
      <c r="W494" s="14">
        <f t="shared" si="46"/>
        <v>0.00516441665124745</v>
      </c>
      <c r="X494" s="14">
        <f t="shared" si="47"/>
        <v>0.5468772361021763</v>
      </c>
      <c r="Y494" s="14">
        <f t="shared" si="48"/>
        <v>-0.09351858292923332</v>
      </c>
      <c r="Z494" s="15">
        <f t="shared" si="49"/>
        <v>0.45838372860817245</v>
      </c>
    </row>
    <row r="495" spans="18:26" ht="12">
      <c r="R495" s="13">
        <v>18174.609893159442</v>
      </c>
      <c r="S495" s="13">
        <f t="shared" si="42"/>
        <v>2.5894431257238133</v>
      </c>
      <c r="T495" s="13">
        <f t="shared" si="43"/>
        <v>3.7027980452593665</v>
      </c>
      <c r="U495" s="14">
        <f t="shared" si="44"/>
        <v>-1.9507332655877008E-05</v>
      </c>
      <c r="V495" s="14">
        <f t="shared" si="45"/>
        <v>-9.61699849906239E-05</v>
      </c>
      <c r="W495" s="14">
        <f t="shared" si="46"/>
        <v>0.004287149333658036</v>
      </c>
      <c r="X495" s="14">
        <f t="shared" si="47"/>
        <v>0.4570590785097899</v>
      </c>
      <c r="Y495" s="14">
        <f t="shared" si="48"/>
        <v>-0.07577781751164103</v>
      </c>
      <c r="Z495" s="15">
        <f t="shared" si="49"/>
        <v>0.3854527330141604</v>
      </c>
    </row>
    <row r="496" spans="18:26" ht="12">
      <c r="R496" s="13">
        <v>18538.102091022633</v>
      </c>
      <c r="S496" s="13">
        <f t="shared" si="42"/>
        <v>2.6412319882382893</v>
      </c>
      <c r="T496" s="13">
        <f t="shared" si="43"/>
        <v>3.7548191852719457</v>
      </c>
      <c r="U496" s="14">
        <f t="shared" si="44"/>
        <v>-1.5869865123363525E-05</v>
      </c>
      <c r="V496" s="14">
        <f t="shared" si="45"/>
        <v>-7.823667481332564E-05</v>
      </c>
      <c r="W496" s="14">
        <f t="shared" si="46"/>
        <v>0.0034875529754749834</v>
      </c>
      <c r="X496" s="14">
        <f t="shared" si="47"/>
        <v>0.37414581668678615</v>
      </c>
      <c r="Y496" s="14">
        <f t="shared" si="48"/>
        <v>-0.060310499695945374</v>
      </c>
      <c r="Z496" s="15">
        <f t="shared" si="49"/>
        <v>0.31722876342637907</v>
      </c>
    </row>
    <row r="497" spans="18:26" ht="12">
      <c r="R497" s="13">
        <v>18908.864132843086</v>
      </c>
      <c r="S497" s="13">
        <f t="shared" si="42"/>
        <v>2.6940566280030556</v>
      </c>
      <c r="T497" s="13">
        <f t="shared" si="43"/>
        <v>3.803032223665256</v>
      </c>
      <c r="U497" s="14">
        <f t="shared" si="44"/>
        <v>-1.2587530296315208E-05</v>
      </c>
      <c r="V497" s="14">
        <f t="shared" si="45"/>
        <v>-6.20545466887279E-05</v>
      </c>
      <c r="W497" s="14">
        <f t="shared" si="46"/>
        <v>0.0027660958228352683</v>
      </c>
      <c r="X497" s="14">
        <f t="shared" si="47"/>
        <v>0.2984508200325795</v>
      </c>
      <c r="Y497" s="14">
        <f t="shared" si="48"/>
        <v>-0.046904083162867316</v>
      </c>
      <c r="Z497" s="15">
        <f t="shared" si="49"/>
        <v>0.2542381906155624</v>
      </c>
    </row>
    <row r="498" spans="18:26" ht="12">
      <c r="R498" s="13">
        <v>19287.04141549995</v>
      </c>
      <c r="S498" s="13">
        <f t="shared" si="42"/>
        <v>2.747937760563117</v>
      </c>
      <c r="T498" s="13">
        <f t="shared" si="43"/>
        <v>3.8470266747811603</v>
      </c>
      <c r="U498" s="14">
        <f t="shared" si="44"/>
        <v>-9.664190464775402E-06</v>
      </c>
      <c r="V498" s="14">
        <f t="shared" si="45"/>
        <v>-4.764254299338688E-05</v>
      </c>
      <c r="W498" s="14">
        <f t="shared" si="46"/>
        <v>0.0021236041741179434</v>
      </c>
      <c r="X498" s="14">
        <f t="shared" si="47"/>
        <v>0.23031429288557526</v>
      </c>
      <c r="Y498" s="14">
        <f t="shared" si="48"/>
        <v>-0.03538608537309962</v>
      </c>
      <c r="Z498" s="15">
        <f t="shared" si="49"/>
        <v>0.19699450495313542</v>
      </c>
    </row>
    <row r="499" spans="18:26" ht="12">
      <c r="R499" s="13">
        <v>19672.782243809947</v>
      </c>
      <c r="S499" s="13">
        <f t="shared" si="42"/>
        <v>2.802896515774379</v>
      </c>
      <c r="T499" s="13">
        <f t="shared" si="43"/>
        <v>3.886377370491205</v>
      </c>
      <c r="U499" s="14">
        <f t="shared" si="44"/>
        <v>-7.105497720871767E-06</v>
      </c>
      <c r="V499" s="14">
        <f t="shared" si="45"/>
        <v>-3.502843917146947E-05</v>
      </c>
      <c r="W499" s="14">
        <f t="shared" si="46"/>
        <v>0.0015612998275411627</v>
      </c>
      <c r="X499" s="14">
        <f t="shared" si="47"/>
        <v>0.17010537113604052</v>
      </c>
      <c r="Y499" s="14">
        <f t="shared" si="48"/>
        <v>-0.025619468796411304</v>
      </c>
      <c r="Z499" s="15">
        <f t="shared" si="49"/>
        <v>0.14600506823027803</v>
      </c>
    </row>
    <row r="500" spans="18:26" ht="12">
      <c r="R500" s="13"/>
      <c r="S500" s="13"/>
      <c r="T500" s="13"/>
      <c r="U500" s="14"/>
      <c r="V500" s="14"/>
      <c r="W500" s="14"/>
      <c r="X500" s="14"/>
      <c r="Y500" s="14"/>
      <c r="Z500" s="15"/>
    </row>
    <row r="501" spans="18:26" ht="12">
      <c r="R501" s="13"/>
      <c r="S501" s="13"/>
      <c r="T501" s="13"/>
      <c r="U501" s="14"/>
      <c r="V501" s="14"/>
      <c r="W501" s="14"/>
      <c r="X501" s="14"/>
      <c r="Y501" s="14"/>
      <c r="Z501" s="15"/>
    </row>
    <row r="502" spans="18:26" ht="12">
      <c r="R502" s="13"/>
      <c r="S502" s="13"/>
      <c r="T502" s="13"/>
      <c r="U502" s="14"/>
      <c r="V502" s="14"/>
      <c r="W502" s="14"/>
      <c r="X502" s="14"/>
      <c r="Y502" s="14"/>
      <c r="Z502" s="15"/>
    </row>
    <row r="503" spans="18:26" ht="12">
      <c r="R503" s="13"/>
      <c r="S503" s="13"/>
      <c r="T503" s="13"/>
      <c r="U503" s="14"/>
      <c r="V503" s="14"/>
      <c r="W503" s="14"/>
      <c r="X503" s="14"/>
      <c r="Y503" s="14"/>
      <c r="Z503" s="15"/>
    </row>
    <row r="504" spans="18:26" ht="12">
      <c r="R504" s="13"/>
      <c r="S504" s="13"/>
      <c r="T504" s="13"/>
      <c r="U504" s="14"/>
      <c r="V504" s="14"/>
      <c r="W504" s="14"/>
      <c r="X504" s="14"/>
      <c r="Y504" s="14"/>
      <c r="Z504" s="15"/>
    </row>
    <row r="505" spans="18:26" ht="12">
      <c r="R505" s="13"/>
      <c r="S505" s="13"/>
      <c r="T505" s="13"/>
      <c r="U505" s="14"/>
      <c r="V505" s="14"/>
      <c r="W505" s="14"/>
      <c r="X505" s="14"/>
      <c r="Y505" s="14"/>
      <c r="Z505" s="15"/>
    </row>
    <row r="506" spans="18:26" ht="12">
      <c r="R506" s="13"/>
      <c r="S506" s="13"/>
      <c r="T506" s="13"/>
      <c r="U506" s="14"/>
      <c r="V506" s="14"/>
      <c r="W506" s="14"/>
      <c r="X506" s="14"/>
      <c r="Y506" s="14"/>
      <c r="Z506" s="15"/>
    </row>
    <row r="507" spans="18:26" ht="12">
      <c r="R507" s="13"/>
      <c r="S507" s="13"/>
      <c r="T507" s="13"/>
      <c r="U507" s="14"/>
      <c r="V507" s="14"/>
      <c r="W507" s="14"/>
      <c r="X507" s="14"/>
      <c r="Y507" s="14"/>
      <c r="Z507" s="15"/>
    </row>
    <row r="508" spans="18:26" ht="12">
      <c r="R508" s="13"/>
      <c r="S508" s="13"/>
      <c r="T508" s="13"/>
      <c r="U508" s="14"/>
      <c r="V508" s="14"/>
      <c r="W508" s="14"/>
      <c r="X508" s="14"/>
      <c r="Y508" s="14"/>
      <c r="Z508" s="15"/>
    </row>
    <row r="509" spans="18:26" ht="12">
      <c r="R509" s="13"/>
      <c r="S509" s="13"/>
      <c r="T509" s="13"/>
      <c r="U509" s="14"/>
      <c r="V509" s="14"/>
      <c r="W509" s="14"/>
      <c r="X509" s="14"/>
      <c r="Y509" s="14"/>
      <c r="Z509" s="15"/>
    </row>
    <row r="510" spans="18:26" ht="12">
      <c r="R510" s="13"/>
      <c r="S510" s="13"/>
      <c r="T510" s="13"/>
      <c r="U510" s="14"/>
      <c r="V510" s="14"/>
      <c r="W510" s="14"/>
      <c r="X510" s="14"/>
      <c r="Y510" s="14"/>
      <c r="Z510" s="15"/>
    </row>
    <row r="511" spans="18:26" ht="12">
      <c r="R511" s="13"/>
      <c r="S511" s="13"/>
      <c r="T511" s="13"/>
      <c r="U511" s="14"/>
      <c r="V511" s="14"/>
      <c r="W511" s="14"/>
      <c r="X511" s="14"/>
      <c r="Y511" s="14"/>
      <c r="Z511" s="15"/>
    </row>
    <row r="512" spans="18:26" ht="12">
      <c r="R512" s="13"/>
      <c r="S512" s="13"/>
      <c r="T512" s="13"/>
      <c r="U512" s="14"/>
      <c r="V512" s="14"/>
      <c r="W512" s="14"/>
      <c r="X512" s="14"/>
      <c r="Y512" s="14"/>
      <c r="Z512" s="15"/>
    </row>
    <row r="513" spans="18:26" ht="12">
      <c r="R513" s="13"/>
      <c r="S513" s="13"/>
      <c r="T513" s="13"/>
      <c r="U513" s="14"/>
      <c r="V513" s="14"/>
      <c r="W513" s="14"/>
      <c r="X513" s="14"/>
      <c r="Y513" s="14"/>
      <c r="Z513" s="15"/>
    </row>
    <row r="514" spans="18:26" ht="12">
      <c r="R514" s="13"/>
      <c r="S514" s="13"/>
      <c r="T514" s="13"/>
      <c r="U514" s="14"/>
      <c r="V514" s="14"/>
      <c r="W514" s="14"/>
      <c r="X514" s="14"/>
      <c r="Y514" s="14"/>
      <c r="Z514" s="15"/>
    </row>
    <row r="515" spans="18:26" ht="12">
      <c r="R515" s="13"/>
      <c r="S515" s="13"/>
      <c r="T515" s="13"/>
      <c r="U515" s="14"/>
      <c r="V515" s="14"/>
      <c r="W515" s="14"/>
      <c r="X515" s="14"/>
      <c r="Y515" s="14"/>
      <c r="Z515" s="15"/>
    </row>
    <row r="516" spans="18:26" ht="12">
      <c r="R516" s="13"/>
      <c r="S516" s="13"/>
      <c r="T516" s="13"/>
      <c r="U516" s="14"/>
      <c r="V516" s="14"/>
      <c r="W516" s="14"/>
      <c r="X516" s="14"/>
      <c r="Y516" s="14"/>
      <c r="Z516" s="15"/>
    </row>
    <row r="517" spans="18:26" ht="12">
      <c r="R517" s="13"/>
      <c r="S517" s="13"/>
      <c r="T517" s="13"/>
      <c r="U517" s="14"/>
      <c r="V517" s="14"/>
      <c r="W517" s="14"/>
      <c r="X517" s="14"/>
      <c r="Y517" s="14"/>
      <c r="Z517" s="15"/>
    </row>
    <row r="518" spans="18:26" ht="12">
      <c r="R518" s="13"/>
      <c r="S518" s="13"/>
      <c r="T518" s="13"/>
      <c r="U518" s="14"/>
      <c r="V518" s="14"/>
      <c r="W518" s="14"/>
      <c r="X518" s="14"/>
      <c r="Y518" s="14"/>
      <c r="Z518" s="15"/>
    </row>
    <row r="519" spans="18:26" ht="12">
      <c r="R519" s="13"/>
      <c r="S519" s="13"/>
      <c r="T519" s="13"/>
      <c r="U519" s="14"/>
      <c r="V519" s="14"/>
      <c r="W519" s="14"/>
      <c r="X519" s="14"/>
      <c r="Y519" s="14"/>
      <c r="Z519" s="15"/>
    </row>
    <row r="520" spans="18:26" ht="12">
      <c r="R520" s="13"/>
      <c r="S520" s="13"/>
      <c r="T520" s="13"/>
      <c r="U520" s="14"/>
      <c r="V520" s="14"/>
      <c r="W520" s="14"/>
      <c r="X520" s="14"/>
      <c r="Y520" s="14"/>
      <c r="Z520" s="15"/>
    </row>
    <row r="521" spans="18:26" ht="12">
      <c r="R521" s="13"/>
      <c r="S521" s="13"/>
      <c r="T521" s="13"/>
      <c r="U521" s="14"/>
      <c r="V521" s="14"/>
      <c r="W521" s="14"/>
      <c r="X521" s="14"/>
      <c r="Y521" s="14"/>
      <c r="Z521" s="15"/>
    </row>
    <row r="522" spans="18:26" ht="12">
      <c r="R522" s="13"/>
      <c r="S522" s="13"/>
      <c r="T522" s="13"/>
      <c r="U522" s="14"/>
      <c r="V522" s="14"/>
      <c r="W522" s="14"/>
      <c r="X522" s="14"/>
      <c r="Y522" s="14"/>
      <c r="Z522" s="15"/>
    </row>
    <row r="523" spans="18:26" ht="12">
      <c r="R523" s="13"/>
      <c r="S523" s="13"/>
      <c r="T523" s="13"/>
      <c r="U523" s="14"/>
      <c r="V523" s="14"/>
      <c r="W523" s="14"/>
      <c r="X523" s="14"/>
      <c r="Y523" s="14"/>
      <c r="Z523" s="15"/>
    </row>
    <row r="524" spans="18:26" ht="12">
      <c r="R524" s="13"/>
      <c r="S524" s="13"/>
      <c r="T524" s="13"/>
      <c r="U524" s="14"/>
      <c r="V524" s="14"/>
      <c r="W524" s="14"/>
      <c r="X524" s="14"/>
      <c r="Y524" s="14"/>
      <c r="Z524" s="15"/>
    </row>
    <row r="525" spans="18:26" ht="12">
      <c r="R525" s="13"/>
      <c r="S525" s="13"/>
      <c r="T525" s="13"/>
      <c r="U525" s="14"/>
      <c r="V525" s="14"/>
      <c r="W525" s="14"/>
      <c r="X525" s="14"/>
      <c r="Y525" s="14"/>
      <c r="Z525" s="15"/>
    </row>
    <row r="526" spans="18:26" ht="12">
      <c r="R526" s="13"/>
      <c r="S526" s="13"/>
      <c r="T526" s="13"/>
      <c r="U526" s="14"/>
      <c r="V526" s="14"/>
      <c r="W526" s="14"/>
      <c r="X526" s="14"/>
      <c r="Y526" s="14"/>
      <c r="Z526" s="15"/>
    </row>
    <row r="527" spans="18:26" ht="12">
      <c r="R527" s="13"/>
      <c r="S527" s="13"/>
      <c r="T527" s="13"/>
      <c r="U527" s="14"/>
      <c r="V527" s="14"/>
      <c r="W527" s="14"/>
      <c r="X527" s="14"/>
      <c r="Y527" s="14"/>
      <c r="Z527" s="15"/>
    </row>
    <row r="528" spans="18:26" ht="12">
      <c r="R528" s="13"/>
      <c r="S528" s="13"/>
      <c r="T528" s="13"/>
      <c r="U528" s="14"/>
      <c r="V528" s="14"/>
      <c r="W528" s="14"/>
      <c r="X528" s="14"/>
      <c r="Y528" s="14"/>
      <c r="Z528" s="15"/>
    </row>
    <row r="529" spans="18:26" ht="12">
      <c r="R529" s="13"/>
      <c r="S529" s="13"/>
      <c r="T529" s="13"/>
      <c r="U529" s="14"/>
      <c r="V529" s="14"/>
      <c r="W529" s="14"/>
      <c r="X529" s="14"/>
      <c r="Y529" s="14"/>
      <c r="Z529" s="15"/>
    </row>
    <row r="530" spans="18:26" ht="12">
      <c r="R530" s="13"/>
      <c r="S530" s="13"/>
      <c r="T530" s="13"/>
      <c r="U530" s="14"/>
      <c r="V530" s="14"/>
      <c r="W530" s="14"/>
      <c r="X530" s="14"/>
      <c r="Y530" s="14"/>
      <c r="Z530" s="15"/>
    </row>
    <row r="531" spans="18:26" ht="12">
      <c r="R531" s="13"/>
      <c r="S531" s="13"/>
      <c r="T531" s="13"/>
      <c r="U531" s="14"/>
      <c r="V531" s="14"/>
      <c r="W531" s="14"/>
      <c r="X531" s="14"/>
      <c r="Y531" s="14"/>
      <c r="Z531" s="15"/>
    </row>
    <row r="532" spans="18:26" ht="12">
      <c r="R532" s="13"/>
      <c r="S532" s="13"/>
      <c r="T532" s="13"/>
      <c r="U532" s="14"/>
      <c r="V532" s="14"/>
      <c r="W532" s="14"/>
      <c r="X532" s="14"/>
      <c r="Y532" s="14"/>
      <c r="Z532" s="15"/>
    </row>
    <row r="533" spans="18:26" ht="12">
      <c r="R533" s="13"/>
      <c r="S533" s="13"/>
      <c r="T533" s="13"/>
      <c r="U533" s="14"/>
      <c r="V533" s="14"/>
      <c r="W533" s="14"/>
      <c r="X533" s="14"/>
      <c r="Y533" s="14"/>
      <c r="Z533" s="15"/>
    </row>
    <row r="534" spans="18:26" ht="12">
      <c r="R534" s="13"/>
      <c r="S534" s="13"/>
      <c r="T534" s="13"/>
      <c r="U534" s="14"/>
      <c r="V534" s="14"/>
      <c r="W534" s="14"/>
      <c r="X534" s="14"/>
      <c r="Y534" s="14"/>
      <c r="Z534" s="15"/>
    </row>
    <row r="535" spans="18:26" ht="12">
      <c r="R535" s="13"/>
      <c r="S535" s="13"/>
      <c r="T535" s="13"/>
      <c r="U535" s="14"/>
      <c r="V535" s="14"/>
      <c r="W535" s="14"/>
      <c r="X535" s="14"/>
      <c r="Y535" s="14"/>
      <c r="Z535" s="15"/>
    </row>
    <row r="536" spans="18:26" ht="12">
      <c r="R536" s="13"/>
      <c r="S536" s="13"/>
      <c r="T536" s="13"/>
      <c r="U536" s="14"/>
      <c r="V536" s="14"/>
      <c r="W536" s="14"/>
      <c r="X536" s="14"/>
      <c r="Y536" s="14"/>
      <c r="Z536" s="15"/>
    </row>
    <row r="537" spans="18:26" ht="12">
      <c r="R537" s="13"/>
      <c r="S537" s="13"/>
      <c r="T537" s="13"/>
      <c r="U537" s="14"/>
      <c r="V537" s="14"/>
      <c r="W537" s="14"/>
      <c r="X537" s="14"/>
      <c r="Y537" s="14"/>
      <c r="Z537" s="15"/>
    </row>
    <row r="538" spans="18:26" ht="12">
      <c r="R538" s="13"/>
      <c r="S538" s="13"/>
      <c r="T538" s="13"/>
      <c r="U538" s="14"/>
      <c r="V538" s="14"/>
      <c r="W538" s="14"/>
      <c r="X538" s="14"/>
      <c r="Y538" s="14"/>
      <c r="Z538" s="15"/>
    </row>
    <row r="539" spans="18:26" ht="12">
      <c r="R539" s="13"/>
      <c r="S539" s="13"/>
      <c r="T539" s="13"/>
      <c r="U539" s="14"/>
      <c r="V539" s="14"/>
      <c r="W539" s="14"/>
      <c r="X539" s="14"/>
      <c r="Y539" s="14"/>
      <c r="Z539" s="15"/>
    </row>
    <row r="540" spans="18:26" ht="12">
      <c r="R540" s="13"/>
      <c r="S540" s="13"/>
      <c r="T540" s="13"/>
      <c r="U540" s="14"/>
      <c r="V540" s="14"/>
      <c r="W540" s="14"/>
      <c r="X540" s="14"/>
      <c r="Y540" s="14"/>
      <c r="Z540" s="15"/>
    </row>
    <row r="541" spans="18:26" ht="12">
      <c r="R541" s="13"/>
      <c r="S541" s="13"/>
      <c r="T541" s="13"/>
      <c r="U541" s="14"/>
      <c r="V541" s="14"/>
      <c r="W541" s="14"/>
      <c r="X541" s="14"/>
      <c r="Y541" s="14"/>
      <c r="Z541" s="15"/>
    </row>
    <row r="542" spans="18:26" ht="12">
      <c r="R542" s="13"/>
      <c r="S542" s="13"/>
      <c r="T542" s="13"/>
      <c r="U542" s="14"/>
      <c r="V542" s="14"/>
      <c r="W542" s="14"/>
      <c r="X542" s="14"/>
      <c r="Y542" s="14"/>
      <c r="Z542" s="15"/>
    </row>
    <row r="543" spans="18:26" ht="12">
      <c r="R543" s="13"/>
      <c r="S543" s="13"/>
      <c r="T543" s="13"/>
      <c r="U543" s="14"/>
      <c r="V543" s="14"/>
      <c r="W543" s="14"/>
      <c r="X543" s="14"/>
      <c r="Y543" s="14"/>
      <c r="Z543" s="15"/>
    </row>
    <row r="544" spans="18:26" ht="12">
      <c r="R544" s="13"/>
      <c r="S544" s="13"/>
      <c r="T544" s="13"/>
      <c r="U544" s="14"/>
      <c r="V544" s="14"/>
      <c r="W544" s="14"/>
      <c r="X544" s="14"/>
      <c r="Y544" s="14"/>
      <c r="Z544" s="15"/>
    </row>
    <row r="545" spans="18:26" ht="12">
      <c r="R545" s="13"/>
      <c r="S545" s="13"/>
      <c r="T545" s="13"/>
      <c r="U545" s="14"/>
      <c r="V545" s="14"/>
      <c r="W545" s="14"/>
      <c r="X545" s="14"/>
      <c r="Y545" s="14"/>
      <c r="Z545" s="15"/>
    </row>
    <row r="546" spans="18:26" ht="12">
      <c r="R546" s="13"/>
      <c r="S546" s="13"/>
      <c r="T546" s="13"/>
      <c r="U546" s="14"/>
      <c r="V546" s="14"/>
      <c r="W546" s="14"/>
      <c r="X546" s="14"/>
      <c r="Y546" s="14"/>
      <c r="Z546" s="15"/>
    </row>
    <row r="547" spans="18:26" ht="12">
      <c r="R547" s="13"/>
      <c r="S547" s="13"/>
      <c r="T547" s="13"/>
      <c r="U547" s="14"/>
      <c r="V547" s="14"/>
      <c r="W547" s="14"/>
      <c r="X547" s="14"/>
      <c r="Y547" s="14"/>
      <c r="Z547" s="15"/>
    </row>
    <row r="548" spans="18:26" ht="12">
      <c r="R548" s="13"/>
      <c r="S548" s="13"/>
      <c r="T548" s="13"/>
      <c r="U548" s="14"/>
      <c r="V548" s="14"/>
      <c r="W548" s="14"/>
      <c r="X548" s="14"/>
      <c r="Y548" s="14"/>
      <c r="Z548" s="15"/>
    </row>
    <row r="549" spans="18:26" ht="12">
      <c r="R549" s="13"/>
      <c r="S549" s="13"/>
      <c r="T549" s="13"/>
      <c r="U549" s="14"/>
      <c r="V549" s="14"/>
      <c r="W549" s="14"/>
      <c r="X549" s="14"/>
      <c r="Y549" s="14"/>
      <c r="Z549" s="15"/>
    </row>
    <row r="550" spans="18:26" ht="12">
      <c r="R550" s="13"/>
      <c r="S550" s="13"/>
      <c r="T550" s="13"/>
      <c r="U550" s="14"/>
      <c r="V550" s="14"/>
      <c r="W550" s="14"/>
      <c r="X550" s="14"/>
      <c r="Y550" s="14"/>
      <c r="Z550" s="15"/>
    </row>
    <row r="551" spans="18:26" ht="12">
      <c r="R551" s="13"/>
      <c r="S551" s="13"/>
      <c r="T551" s="13"/>
      <c r="U551" s="14"/>
      <c r="V551" s="14"/>
      <c r="W551" s="14"/>
      <c r="X551" s="14"/>
      <c r="Y551" s="14"/>
      <c r="Z551" s="15"/>
    </row>
    <row r="552" spans="18:26" ht="12">
      <c r="R552" s="13"/>
      <c r="S552" s="13"/>
      <c r="T552" s="13"/>
      <c r="U552" s="14"/>
      <c r="V552" s="14"/>
      <c r="W552" s="14"/>
      <c r="X552" s="14"/>
      <c r="Y552" s="14"/>
      <c r="Z552" s="15"/>
    </row>
    <row r="553" spans="18:26" ht="12">
      <c r="R553" s="13"/>
      <c r="S553" s="13"/>
      <c r="T553" s="13"/>
      <c r="U553" s="14"/>
      <c r="V553" s="14"/>
      <c r="W553" s="14"/>
      <c r="X553" s="14"/>
      <c r="Y553" s="14"/>
      <c r="Z553" s="15"/>
    </row>
    <row r="554" spans="18:26" ht="12">
      <c r="R554" s="13"/>
      <c r="S554" s="13"/>
      <c r="T554" s="13"/>
      <c r="U554" s="14"/>
      <c r="V554" s="14"/>
      <c r="W554" s="14"/>
      <c r="X554" s="14"/>
      <c r="Y554" s="14"/>
      <c r="Z554" s="15"/>
    </row>
    <row r="555" spans="18:26" ht="12">
      <c r="R555" s="13"/>
      <c r="S555" s="13"/>
      <c r="T555" s="13"/>
      <c r="U555" s="14"/>
      <c r="V555" s="14"/>
      <c r="W555" s="14"/>
      <c r="X555" s="14"/>
      <c r="Y555" s="14"/>
      <c r="Z555" s="15"/>
    </row>
    <row r="556" spans="18:26" ht="12">
      <c r="R556" s="13"/>
      <c r="S556" s="13"/>
      <c r="T556" s="13"/>
      <c r="U556" s="14"/>
      <c r="V556" s="14"/>
      <c r="W556" s="14"/>
      <c r="X556" s="14"/>
      <c r="Y556" s="14"/>
      <c r="Z556" s="15"/>
    </row>
    <row r="557" spans="18:26" ht="12">
      <c r="R557" s="13"/>
      <c r="S557" s="13"/>
      <c r="T557" s="13"/>
      <c r="U557" s="14"/>
      <c r="V557" s="14"/>
      <c r="W557" s="14"/>
      <c r="X557" s="14"/>
      <c r="Y557" s="14"/>
      <c r="Z557" s="15"/>
    </row>
    <row r="558" spans="18:26" ht="12">
      <c r="R558" s="13"/>
      <c r="S558" s="13"/>
      <c r="T558" s="13"/>
      <c r="U558" s="14"/>
      <c r="V558" s="14"/>
      <c r="W558" s="14"/>
      <c r="X558" s="14"/>
      <c r="Y558" s="14"/>
      <c r="Z558" s="15"/>
    </row>
    <row r="559" spans="18:26" ht="12">
      <c r="R559" s="13"/>
      <c r="S559" s="13"/>
      <c r="T559" s="13"/>
      <c r="U559" s="14"/>
      <c r="V559" s="14"/>
      <c r="W559" s="14"/>
      <c r="X559" s="14"/>
      <c r="Y559" s="14"/>
      <c r="Z559" s="15"/>
    </row>
    <row r="560" spans="18:26" ht="12">
      <c r="R560" s="13"/>
      <c r="S560" s="13"/>
      <c r="T560" s="13"/>
      <c r="U560" s="14"/>
      <c r="V560" s="14"/>
      <c r="W560" s="14"/>
      <c r="X560" s="14"/>
      <c r="Y560" s="14"/>
      <c r="Z560" s="15"/>
    </row>
    <row r="561" spans="18:26" ht="12">
      <c r="R561" s="13"/>
      <c r="S561" s="13"/>
      <c r="T561" s="13"/>
      <c r="U561" s="14"/>
      <c r="V561" s="14"/>
      <c r="W561" s="14"/>
      <c r="X561" s="14"/>
      <c r="Y561" s="14"/>
      <c r="Z561" s="15"/>
    </row>
    <row r="562" spans="18:26" ht="12">
      <c r="R562" s="13"/>
      <c r="S562" s="13"/>
      <c r="T562" s="13"/>
      <c r="U562" s="14"/>
      <c r="V562" s="14"/>
      <c r="W562" s="14"/>
      <c r="X562" s="14"/>
      <c r="Y562" s="14"/>
      <c r="Z562" s="15"/>
    </row>
    <row r="563" spans="18:26" ht="12">
      <c r="R563" s="13"/>
      <c r="S563" s="13"/>
      <c r="T563" s="13"/>
      <c r="U563" s="14"/>
      <c r="V563" s="14"/>
      <c r="W563" s="14"/>
      <c r="X563" s="14"/>
      <c r="Y563" s="14"/>
      <c r="Z563" s="15"/>
    </row>
    <row r="564" spans="18:26" ht="12">
      <c r="R564" s="13"/>
      <c r="S564" s="13"/>
      <c r="T564" s="13"/>
      <c r="U564" s="14"/>
      <c r="V564" s="14"/>
      <c r="W564" s="14"/>
      <c r="X564" s="14"/>
      <c r="Y564" s="14"/>
      <c r="Z564" s="15"/>
    </row>
    <row r="565" spans="18:26" ht="12">
      <c r="R565" s="13"/>
      <c r="S565" s="13"/>
      <c r="T565" s="13"/>
      <c r="U565" s="14"/>
      <c r="V565" s="14"/>
      <c r="W565" s="14"/>
      <c r="X565" s="14"/>
      <c r="Y565" s="14"/>
      <c r="Z565" s="15"/>
    </row>
    <row r="566" spans="18:26" ht="12">
      <c r="R566" s="13"/>
      <c r="S566" s="13"/>
      <c r="T566" s="13"/>
      <c r="U566" s="14"/>
      <c r="V566" s="14"/>
      <c r="W566" s="14"/>
      <c r="X566" s="14"/>
      <c r="Y566" s="14"/>
      <c r="Z566" s="15"/>
    </row>
    <row r="567" spans="18:26" ht="12">
      <c r="R567" s="13"/>
      <c r="S567" s="13"/>
      <c r="T567" s="13"/>
      <c r="U567" s="14"/>
      <c r="V567" s="14"/>
      <c r="W567" s="14"/>
      <c r="X567" s="14"/>
      <c r="Y567" s="14"/>
      <c r="Z567" s="15"/>
    </row>
    <row r="568" spans="18:26" ht="12">
      <c r="R568" s="13"/>
      <c r="S568" s="13"/>
      <c r="T568" s="13"/>
      <c r="U568" s="14"/>
      <c r="V568" s="14"/>
      <c r="W568" s="14"/>
      <c r="X568" s="14"/>
      <c r="Y568" s="14"/>
      <c r="Z568" s="15"/>
    </row>
    <row r="569" spans="18:26" ht="12">
      <c r="R569" s="13"/>
      <c r="S569" s="13"/>
      <c r="T569" s="13"/>
      <c r="U569" s="14"/>
      <c r="V569" s="14"/>
      <c r="W569" s="14"/>
      <c r="X569" s="14"/>
      <c r="Y569" s="14"/>
      <c r="Z569" s="15"/>
    </row>
    <row r="570" spans="18:26" ht="12">
      <c r="R570" s="13"/>
      <c r="S570" s="13"/>
      <c r="T570" s="13"/>
      <c r="U570" s="14"/>
      <c r="V570" s="14"/>
      <c r="W570" s="14"/>
      <c r="X570" s="14"/>
      <c r="Y570" s="14"/>
      <c r="Z570" s="15"/>
    </row>
    <row r="571" spans="18:26" ht="12">
      <c r="R571" s="13"/>
      <c r="S571" s="13"/>
      <c r="T571" s="13"/>
      <c r="U571" s="14"/>
      <c r="V571" s="14"/>
      <c r="W571" s="14"/>
      <c r="X571" s="14"/>
      <c r="Y571" s="14"/>
      <c r="Z571" s="15"/>
    </row>
    <row r="572" spans="18:26" ht="12">
      <c r="R572" s="13"/>
      <c r="S572" s="13"/>
      <c r="T572" s="13"/>
      <c r="U572" s="14"/>
      <c r="V572" s="14"/>
      <c r="W572" s="14"/>
      <c r="X572" s="14"/>
      <c r="Y572" s="14"/>
      <c r="Z572" s="15"/>
    </row>
    <row r="573" spans="18:26" ht="12">
      <c r="R573" s="13"/>
      <c r="S573" s="13"/>
      <c r="T573" s="13"/>
      <c r="U573" s="14"/>
      <c r="V573" s="14"/>
      <c r="W573" s="14"/>
      <c r="X573" s="14"/>
      <c r="Y573" s="14"/>
      <c r="Z573" s="15"/>
    </row>
    <row r="574" spans="18:26" ht="12">
      <c r="R574" s="13"/>
      <c r="S574" s="13"/>
      <c r="T574" s="13"/>
      <c r="U574" s="14"/>
      <c r="V574" s="14"/>
      <c r="W574" s="14"/>
      <c r="X574" s="14"/>
      <c r="Y574" s="14"/>
      <c r="Z574" s="15"/>
    </row>
    <row r="575" spans="18:26" ht="12">
      <c r="R575" s="13"/>
      <c r="S575" s="13"/>
      <c r="T575" s="13"/>
      <c r="U575" s="14"/>
      <c r="V575" s="14"/>
      <c r="W575" s="14"/>
      <c r="X575" s="14"/>
      <c r="Y575" s="14"/>
      <c r="Z575" s="15"/>
    </row>
    <row r="576" spans="18:26" ht="12">
      <c r="R576" s="13"/>
      <c r="S576" s="13"/>
      <c r="T576" s="13"/>
      <c r="U576" s="14"/>
      <c r="V576" s="14"/>
      <c r="W576" s="14"/>
      <c r="X576" s="14"/>
      <c r="Y576" s="14"/>
      <c r="Z576" s="15"/>
    </row>
    <row r="577" spans="18:26" ht="12">
      <c r="R577" s="13"/>
      <c r="S577" s="13"/>
      <c r="T577" s="13"/>
      <c r="U577" s="14"/>
      <c r="V577" s="14"/>
      <c r="W577" s="14"/>
      <c r="X577" s="14"/>
      <c r="Y577" s="14"/>
      <c r="Z577" s="15"/>
    </row>
    <row r="578" spans="18:26" ht="12">
      <c r="R578" s="13"/>
      <c r="S578" s="13"/>
      <c r="T578" s="13"/>
      <c r="U578" s="14"/>
      <c r="V578" s="14"/>
      <c r="W578" s="14"/>
      <c r="X578" s="14"/>
      <c r="Y578" s="14"/>
      <c r="Z578" s="15"/>
    </row>
    <row r="579" spans="18:26" ht="12">
      <c r="R579" s="13"/>
      <c r="S579" s="13"/>
      <c r="T579" s="13"/>
      <c r="U579" s="14"/>
      <c r="V579" s="14"/>
      <c r="W579" s="14"/>
      <c r="X579" s="14"/>
      <c r="Y579" s="14"/>
      <c r="Z579" s="15"/>
    </row>
    <row r="580" spans="18:26" ht="12">
      <c r="R580" s="13"/>
      <c r="S580" s="13"/>
      <c r="T580" s="13"/>
      <c r="U580" s="14"/>
      <c r="V580" s="14"/>
      <c r="W580" s="14"/>
      <c r="X580" s="14"/>
      <c r="Y580" s="14"/>
      <c r="Z580" s="15"/>
    </row>
    <row r="581" spans="18:26" ht="12">
      <c r="R581" s="13"/>
      <c r="S581" s="13"/>
      <c r="T581" s="13"/>
      <c r="U581" s="14"/>
      <c r="V581" s="14"/>
      <c r="W581" s="14"/>
      <c r="X581" s="14"/>
      <c r="Y581" s="14"/>
      <c r="Z581" s="15"/>
    </row>
    <row r="582" spans="18:26" ht="12">
      <c r="R582" s="13"/>
      <c r="S582" s="13"/>
      <c r="T582" s="13"/>
      <c r="U582" s="14"/>
      <c r="V582" s="14"/>
      <c r="W582" s="14"/>
      <c r="X582" s="14"/>
      <c r="Y582" s="14"/>
      <c r="Z582" s="15"/>
    </row>
    <row r="583" spans="18:26" ht="12">
      <c r="R583" s="13"/>
      <c r="S583" s="13"/>
      <c r="T583" s="13"/>
      <c r="U583" s="14"/>
      <c r="V583" s="14"/>
      <c r="W583" s="14"/>
      <c r="X583" s="14"/>
      <c r="Y583" s="14"/>
      <c r="Z583" s="15"/>
    </row>
    <row r="584" spans="18:26" ht="12">
      <c r="R584" s="13"/>
      <c r="S584" s="13"/>
      <c r="T584" s="13"/>
      <c r="U584" s="14"/>
      <c r="V584" s="14"/>
      <c r="W584" s="14"/>
      <c r="X584" s="14"/>
      <c r="Y584" s="14"/>
      <c r="Z584" s="15"/>
    </row>
    <row r="585" spans="18:26" ht="12">
      <c r="R585" s="13"/>
      <c r="S585" s="13"/>
      <c r="T585" s="13"/>
      <c r="U585" s="14"/>
      <c r="V585" s="14"/>
      <c r="W585" s="14"/>
      <c r="X585" s="14"/>
      <c r="Y585" s="14"/>
      <c r="Z585" s="15"/>
    </row>
    <row r="586" spans="18:26" ht="12">
      <c r="R586" s="13"/>
      <c r="S586" s="13"/>
      <c r="T586" s="13"/>
      <c r="U586" s="14"/>
      <c r="V586" s="14"/>
      <c r="W586" s="14"/>
      <c r="X586" s="14"/>
      <c r="Y586" s="14"/>
      <c r="Z586" s="15"/>
    </row>
    <row r="587" spans="18:26" ht="12">
      <c r="R587" s="13"/>
      <c r="S587" s="13"/>
      <c r="T587" s="13"/>
      <c r="U587" s="14"/>
      <c r="V587" s="14"/>
      <c r="W587" s="14"/>
      <c r="X587" s="14"/>
      <c r="Y587" s="14"/>
      <c r="Z587" s="15"/>
    </row>
    <row r="588" spans="18:26" ht="12">
      <c r="R588" s="13"/>
      <c r="S588" s="13"/>
      <c r="T588" s="13"/>
      <c r="U588" s="14"/>
      <c r="V588" s="14"/>
      <c r="W588" s="14"/>
      <c r="X588" s="14"/>
      <c r="Y588" s="14"/>
      <c r="Z588" s="15"/>
    </row>
    <row r="589" spans="18:26" ht="12">
      <c r="R589" s="13"/>
      <c r="S589" s="13"/>
      <c r="T589" s="13"/>
      <c r="U589" s="14"/>
      <c r="V589" s="14"/>
      <c r="W589" s="14"/>
      <c r="X589" s="14"/>
      <c r="Y589" s="14"/>
      <c r="Z589" s="15"/>
    </row>
    <row r="590" spans="18:26" ht="12">
      <c r="R590" s="13"/>
      <c r="S590" s="13"/>
      <c r="T590" s="13"/>
      <c r="U590" s="14"/>
      <c r="V590" s="14"/>
      <c r="W590" s="14"/>
      <c r="X590" s="14"/>
      <c r="Y590" s="14"/>
      <c r="Z590" s="15"/>
    </row>
    <row r="591" spans="18:26" ht="12">
      <c r="R591" s="13"/>
      <c r="S591" s="13"/>
      <c r="T591" s="13"/>
      <c r="U591" s="14"/>
      <c r="V591" s="14"/>
      <c r="W591" s="14"/>
      <c r="X591" s="14"/>
      <c r="Y591" s="14"/>
      <c r="Z591" s="15"/>
    </row>
    <row r="592" spans="18:26" ht="12">
      <c r="R592" s="13"/>
      <c r="S592" s="13"/>
      <c r="T592" s="13"/>
      <c r="U592" s="14"/>
      <c r="V592" s="14"/>
      <c r="W592" s="14"/>
      <c r="X592" s="14"/>
      <c r="Y592" s="14"/>
      <c r="Z592" s="15"/>
    </row>
    <row r="593" spans="18:26" ht="12">
      <c r="R593" s="13"/>
      <c r="S593" s="13"/>
      <c r="T593" s="13"/>
      <c r="U593" s="14"/>
      <c r="V593" s="14"/>
      <c r="W593" s="14"/>
      <c r="X593" s="14"/>
      <c r="Y593" s="14"/>
      <c r="Z593" s="15"/>
    </row>
    <row r="594" spans="18:26" ht="12">
      <c r="R594" s="13"/>
      <c r="S594" s="13"/>
      <c r="T594" s="13"/>
      <c r="U594" s="14"/>
      <c r="V594" s="14"/>
      <c r="W594" s="14"/>
      <c r="X594" s="14"/>
      <c r="Y594" s="14"/>
      <c r="Z594" s="15"/>
    </row>
    <row r="595" spans="18:26" ht="12">
      <c r="R595" s="13"/>
      <c r="S595" s="13"/>
      <c r="T595" s="13"/>
      <c r="U595" s="14"/>
      <c r="V595" s="14"/>
      <c r="W595" s="14"/>
      <c r="X595" s="14"/>
      <c r="Y595" s="14"/>
      <c r="Z595" s="15"/>
    </row>
    <row r="596" spans="18:26" ht="12">
      <c r="R596" s="13"/>
      <c r="S596" s="13"/>
      <c r="T596" s="13"/>
      <c r="U596" s="14"/>
      <c r="V596" s="14"/>
      <c r="W596" s="14"/>
      <c r="X596" s="14"/>
      <c r="Y596" s="14"/>
      <c r="Z596" s="15"/>
    </row>
    <row r="597" spans="18:26" ht="12">
      <c r="R597" s="13"/>
      <c r="S597" s="13"/>
      <c r="T597" s="13"/>
      <c r="U597" s="14"/>
      <c r="V597" s="14"/>
      <c r="W597" s="14"/>
      <c r="X597" s="14"/>
      <c r="Y597" s="14"/>
      <c r="Z597" s="15"/>
    </row>
    <row r="598" spans="18:26" ht="12">
      <c r="R598" s="13"/>
      <c r="S598" s="13"/>
      <c r="T598" s="13"/>
      <c r="U598" s="14"/>
      <c r="V598" s="14"/>
      <c r="W598" s="14"/>
      <c r="X598" s="14"/>
      <c r="Y598" s="14"/>
      <c r="Z598" s="15"/>
    </row>
    <row r="599" spans="18:26" ht="12">
      <c r="R599" s="13"/>
      <c r="S599" s="13"/>
      <c r="T599" s="13"/>
      <c r="U599" s="14"/>
      <c r="V599" s="14"/>
      <c r="W599" s="14"/>
      <c r="X599" s="14"/>
      <c r="Y599" s="14"/>
      <c r="Z599" s="15"/>
    </row>
    <row r="600" spans="18:26" ht="12">
      <c r="R600" s="13"/>
      <c r="S600" s="13"/>
      <c r="T600" s="13"/>
      <c r="U600" s="14"/>
      <c r="V600" s="14"/>
      <c r="W600" s="14"/>
      <c r="X600" s="14"/>
      <c r="Y600" s="14"/>
      <c r="Z600" s="15"/>
    </row>
    <row r="601" spans="18:26" ht="12">
      <c r="R601" s="13"/>
      <c r="S601" s="13"/>
      <c r="T601" s="13"/>
      <c r="U601" s="14"/>
      <c r="V601" s="14"/>
      <c r="W601" s="14"/>
      <c r="X601" s="14"/>
      <c r="Y601" s="14"/>
      <c r="Z601" s="15"/>
    </row>
    <row r="602" spans="18:26" ht="12">
      <c r="R602" s="13"/>
      <c r="S602" s="13"/>
      <c r="T602" s="13"/>
      <c r="U602" s="14"/>
      <c r="V602" s="14"/>
      <c r="W602" s="14"/>
      <c r="X602" s="14"/>
      <c r="Y602" s="14"/>
      <c r="Z602" s="15"/>
    </row>
    <row r="603" spans="18:26" ht="12">
      <c r="R603" s="13"/>
      <c r="S603" s="13"/>
      <c r="T603" s="13"/>
      <c r="U603" s="14"/>
      <c r="V603" s="14"/>
      <c r="W603" s="14"/>
      <c r="X603" s="14"/>
      <c r="Y603" s="14"/>
      <c r="Z603" s="15"/>
    </row>
    <row r="604" spans="18:26" ht="12">
      <c r="R604" s="13"/>
      <c r="S604" s="13"/>
      <c r="T604" s="13"/>
      <c r="U604" s="14"/>
      <c r="V604" s="14"/>
      <c r="W604" s="14"/>
      <c r="X604" s="14"/>
      <c r="Y604" s="14"/>
      <c r="Z604" s="15"/>
    </row>
    <row r="605" spans="18:26" ht="12">
      <c r="R605" s="13"/>
      <c r="S605" s="13"/>
      <c r="T605" s="13"/>
      <c r="U605" s="14"/>
      <c r="V605" s="14"/>
      <c r="W605" s="14"/>
      <c r="X605" s="14"/>
      <c r="Y605" s="14"/>
      <c r="Z605" s="15"/>
    </row>
    <row r="606" spans="18:26" ht="12">
      <c r="R606" s="13"/>
      <c r="S606" s="13"/>
      <c r="T606" s="13"/>
      <c r="U606" s="14"/>
      <c r="V606" s="14"/>
      <c r="W606" s="14"/>
      <c r="X606" s="14"/>
      <c r="Y606" s="14"/>
      <c r="Z606" s="15"/>
    </row>
    <row r="607" spans="18:26" ht="12">
      <c r="R607" s="13"/>
      <c r="S607" s="13"/>
      <c r="T607" s="13"/>
      <c r="U607" s="14"/>
      <c r="V607" s="14"/>
      <c r="W607" s="14"/>
      <c r="X607" s="14"/>
      <c r="Y607" s="14"/>
      <c r="Z607" s="15"/>
    </row>
    <row r="608" spans="18:26" ht="12">
      <c r="R608" s="13"/>
      <c r="S608" s="13"/>
      <c r="T608" s="13"/>
      <c r="U608" s="14"/>
      <c r="V608" s="14"/>
      <c r="W608" s="14"/>
      <c r="X608" s="14"/>
      <c r="Y608" s="14"/>
      <c r="Z608" s="15"/>
    </row>
    <row r="609" spans="18:26" ht="12">
      <c r="R609" s="13"/>
      <c r="S609" s="13"/>
      <c r="T609" s="13"/>
      <c r="U609" s="14"/>
      <c r="V609" s="14"/>
      <c r="W609" s="14"/>
      <c r="X609" s="14"/>
      <c r="Y609" s="14"/>
      <c r="Z609" s="15"/>
    </row>
    <row r="610" spans="18:26" ht="12">
      <c r="R610" s="13"/>
      <c r="S610" s="13"/>
      <c r="T610" s="13"/>
      <c r="U610" s="14"/>
      <c r="V610" s="14"/>
      <c r="W610" s="14"/>
      <c r="X610" s="14"/>
      <c r="Y610" s="14"/>
      <c r="Z610" s="15"/>
    </row>
    <row r="611" spans="18:26" ht="12">
      <c r="R611" s="13"/>
      <c r="S611" s="13"/>
      <c r="T611" s="13"/>
      <c r="U611" s="14"/>
      <c r="V611" s="14"/>
      <c r="W611" s="14"/>
      <c r="X611" s="14"/>
      <c r="Y611" s="14"/>
      <c r="Z611" s="15"/>
    </row>
    <row r="612" spans="18:26" ht="12">
      <c r="R612" s="13"/>
      <c r="S612" s="13"/>
      <c r="T612" s="13"/>
      <c r="U612" s="14"/>
      <c r="V612" s="14"/>
      <c r="W612" s="14"/>
      <c r="X612" s="14"/>
      <c r="Y612" s="14"/>
      <c r="Z612" s="15"/>
    </row>
    <row r="613" spans="18:26" ht="12">
      <c r="R613" s="13"/>
      <c r="S613" s="13"/>
      <c r="T613" s="13"/>
      <c r="U613" s="14"/>
      <c r="V613" s="14"/>
      <c r="W613" s="14"/>
      <c r="X613" s="14"/>
      <c r="Y613" s="14"/>
      <c r="Z613" s="15"/>
    </row>
    <row r="614" spans="18:26" ht="12">
      <c r="R614" s="13"/>
      <c r="S614" s="13"/>
      <c r="T614" s="13"/>
      <c r="U614" s="14"/>
      <c r="V614" s="14"/>
      <c r="W614" s="14"/>
      <c r="X614" s="14"/>
      <c r="Y614" s="14"/>
      <c r="Z614" s="15"/>
    </row>
    <row r="615" spans="18:26" ht="12">
      <c r="R615" s="13"/>
      <c r="S615" s="13"/>
      <c r="T615" s="13"/>
      <c r="U615" s="14"/>
      <c r="V615" s="14"/>
      <c r="W615" s="14"/>
      <c r="X615" s="14"/>
      <c r="Y615" s="14"/>
      <c r="Z615" s="15"/>
    </row>
    <row r="616" spans="18:26" ht="12">
      <c r="R616" s="13"/>
      <c r="S616" s="13"/>
      <c r="T616" s="13"/>
      <c r="U616" s="14"/>
      <c r="V616" s="14"/>
      <c r="W616" s="14"/>
      <c r="X616" s="14"/>
      <c r="Y616" s="14"/>
      <c r="Z616" s="15"/>
    </row>
    <row r="617" spans="18:26" ht="12">
      <c r="R617" s="13"/>
      <c r="S617" s="13"/>
      <c r="T617" s="13"/>
      <c r="U617" s="14"/>
      <c r="V617" s="14"/>
      <c r="W617" s="14"/>
      <c r="X617" s="14"/>
      <c r="Y617" s="14"/>
      <c r="Z617" s="15"/>
    </row>
    <row r="618" spans="18:26" ht="12">
      <c r="R618" s="13"/>
      <c r="S618" s="13"/>
      <c r="T618" s="13"/>
      <c r="U618" s="14"/>
      <c r="V618" s="14"/>
      <c r="W618" s="14"/>
      <c r="X618" s="14"/>
      <c r="Y618" s="14"/>
      <c r="Z618" s="15"/>
    </row>
    <row r="619" spans="18:26" ht="12">
      <c r="R619" s="13"/>
      <c r="S619" s="13"/>
      <c r="T619" s="13"/>
      <c r="U619" s="14"/>
      <c r="V619" s="14"/>
      <c r="W619" s="14"/>
      <c r="X619" s="14"/>
      <c r="Y619" s="14"/>
      <c r="Z619" s="15"/>
    </row>
    <row r="620" spans="18:26" ht="12">
      <c r="R620" s="13"/>
      <c r="S620" s="13"/>
      <c r="T620" s="13"/>
      <c r="U620" s="14"/>
      <c r="V620" s="14"/>
      <c r="W620" s="14"/>
      <c r="X620" s="14"/>
      <c r="Y620" s="14"/>
      <c r="Z620" s="15"/>
    </row>
    <row r="621" spans="18:26" ht="12">
      <c r="R621" s="13"/>
      <c r="S621" s="13"/>
      <c r="T621" s="13"/>
      <c r="U621" s="14"/>
      <c r="V621" s="14"/>
      <c r="W621" s="14"/>
      <c r="X621" s="14"/>
      <c r="Y621" s="14"/>
      <c r="Z621" s="15"/>
    </row>
    <row r="622" spans="18:26" ht="12">
      <c r="R622" s="13"/>
      <c r="S622" s="13"/>
      <c r="T622" s="13"/>
      <c r="U622" s="14"/>
      <c r="V622" s="14"/>
      <c r="W622" s="14"/>
      <c r="X622" s="14"/>
      <c r="Y622" s="14"/>
      <c r="Z622" s="15"/>
    </row>
    <row r="623" spans="18:26" ht="12">
      <c r="R623" s="13"/>
      <c r="S623" s="13"/>
      <c r="T623" s="13"/>
      <c r="U623" s="14"/>
      <c r="V623" s="14"/>
      <c r="W623" s="14"/>
      <c r="X623" s="14"/>
      <c r="Y623" s="14"/>
      <c r="Z623" s="15"/>
    </row>
    <row r="624" spans="18:26" ht="12">
      <c r="R624" s="13"/>
      <c r="S624" s="13"/>
      <c r="T624" s="13"/>
      <c r="U624" s="14"/>
      <c r="V624" s="14"/>
      <c r="W624" s="14"/>
      <c r="X624" s="14"/>
      <c r="Y624" s="14"/>
      <c r="Z624" s="15"/>
    </row>
    <row r="625" spans="18:26" ht="12">
      <c r="R625" s="13"/>
      <c r="S625" s="13"/>
      <c r="T625" s="13"/>
      <c r="U625" s="14"/>
      <c r="V625" s="14"/>
      <c r="W625" s="14"/>
      <c r="X625" s="14"/>
      <c r="Y625" s="14"/>
      <c r="Z625" s="15"/>
    </row>
    <row r="626" spans="18:26" ht="12">
      <c r="R626" s="13"/>
      <c r="S626" s="13"/>
      <c r="T626" s="13"/>
      <c r="U626" s="14"/>
      <c r="V626" s="14"/>
      <c r="W626" s="14"/>
      <c r="X626" s="14"/>
      <c r="Y626" s="14"/>
      <c r="Z626" s="15"/>
    </row>
    <row r="627" spans="18:26" ht="12">
      <c r="R627" s="13"/>
      <c r="S627" s="13"/>
      <c r="T627" s="13"/>
      <c r="U627" s="14"/>
      <c r="V627" s="14"/>
      <c r="W627" s="14"/>
      <c r="X627" s="14"/>
      <c r="Y627" s="14"/>
      <c r="Z627" s="15"/>
    </row>
    <row r="628" spans="18:26" ht="12">
      <c r="R628" s="13"/>
      <c r="S628" s="13"/>
      <c r="T628" s="13"/>
      <c r="U628" s="14"/>
      <c r="V628" s="14"/>
      <c r="W628" s="14"/>
      <c r="X628" s="14"/>
      <c r="Y628" s="14"/>
      <c r="Z628" s="15"/>
    </row>
    <row r="629" spans="18:26" ht="12">
      <c r="R629" s="13"/>
      <c r="S629" s="13"/>
      <c r="T629" s="13"/>
      <c r="U629" s="14"/>
      <c r="V629" s="14"/>
      <c r="W629" s="14"/>
      <c r="X629" s="14"/>
      <c r="Y629" s="14"/>
      <c r="Z629" s="15"/>
    </row>
    <row r="630" spans="18:26" ht="12">
      <c r="R630" s="13"/>
      <c r="S630" s="13"/>
      <c r="T630" s="13"/>
      <c r="U630" s="14"/>
      <c r="V630" s="14"/>
      <c r="W630" s="14"/>
      <c r="X630" s="14"/>
      <c r="Y630" s="14"/>
      <c r="Z630" s="15"/>
    </row>
    <row r="631" spans="18:26" ht="12">
      <c r="R631" s="13"/>
      <c r="S631" s="13"/>
      <c r="T631" s="13"/>
      <c r="U631" s="14"/>
      <c r="V631" s="14"/>
      <c r="W631" s="14"/>
      <c r="X631" s="14"/>
      <c r="Y631" s="14"/>
      <c r="Z631" s="15"/>
    </row>
    <row r="632" spans="18:26" ht="12">
      <c r="R632" s="13"/>
      <c r="S632" s="13"/>
      <c r="T632" s="13"/>
      <c r="U632" s="14"/>
      <c r="V632" s="14"/>
      <c r="W632" s="14"/>
      <c r="X632" s="14"/>
      <c r="Y632" s="14"/>
      <c r="Z632" s="15"/>
    </row>
    <row r="633" spans="18:26" ht="12">
      <c r="R633" s="13"/>
      <c r="S633" s="13"/>
      <c r="T633" s="13"/>
      <c r="U633" s="14"/>
      <c r="V633" s="14"/>
      <c r="W633" s="14"/>
      <c r="X633" s="14"/>
      <c r="Y633" s="14"/>
      <c r="Z633" s="15"/>
    </row>
    <row r="634" spans="18:26" ht="12">
      <c r="R634" s="13"/>
      <c r="S634" s="13"/>
      <c r="T634" s="13"/>
      <c r="U634" s="14"/>
      <c r="V634" s="14"/>
      <c r="W634" s="14"/>
      <c r="X634" s="14"/>
      <c r="Y634" s="14"/>
      <c r="Z634" s="15"/>
    </row>
    <row r="635" spans="18:26" ht="12">
      <c r="R635" s="13"/>
      <c r="S635" s="13"/>
      <c r="T635" s="13"/>
      <c r="U635" s="14"/>
      <c r="V635" s="14"/>
      <c r="W635" s="14"/>
      <c r="X635" s="14"/>
      <c r="Y635" s="14"/>
      <c r="Z635" s="15"/>
    </row>
    <row r="636" spans="18:26" ht="12">
      <c r="R636" s="13"/>
      <c r="S636" s="13"/>
      <c r="T636" s="13"/>
      <c r="U636" s="14"/>
      <c r="V636" s="14"/>
      <c r="W636" s="14"/>
      <c r="X636" s="14"/>
      <c r="Y636" s="14"/>
      <c r="Z636" s="15"/>
    </row>
    <row r="637" spans="18:26" ht="12">
      <c r="R637" s="13"/>
      <c r="S637" s="13"/>
      <c r="T637" s="13"/>
      <c r="U637" s="14"/>
      <c r="V637" s="14"/>
      <c r="W637" s="14"/>
      <c r="X637" s="14"/>
      <c r="Y637" s="14"/>
      <c r="Z637" s="15"/>
    </row>
    <row r="638" spans="18:26" ht="12">
      <c r="R638" s="13"/>
      <c r="S638" s="13"/>
      <c r="T638" s="13"/>
      <c r="U638" s="14"/>
      <c r="V638" s="14"/>
      <c r="W638" s="14"/>
      <c r="X638" s="14"/>
      <c r="Y638" s="14"/>
      <c r="Z638" s="15"/>
    </row>
    <row r="639" spans="18:26" ht="12">
      <c r="R639" s="13"/>
      <c r="S639" s="13"/>
      <c r="T639" s="13"/>
      <c r="U639" s="14"/>
      <c r="V639" s="14"/>
      <c r="W639" s="14"/>
      <c r="X639" s="14"/>
      <c r="Y639" s="14"/>
      <c r="Z639" s="15"/>
    </row>
    <row r="640" spans="18:26" ht="12">
      <c r="R640" s="13"/>
      <c r="S640" s="13"/>
      <c r="T640" s="13"/>
      <c r="U640" s="14"/>
      <c r="V640" s="14"/>
      <c r="W640" s="14"/>
      <c r="X640" s="14"/>
      <c r="Y640" s="14"/>
      <c r="Z640" s="15"/>
    </row>
    <row r="641" spans="18:26" ht="12">
      <c r="R641" s="13"/>
      <c r="S641" s="13"/>
      <c r="T641" s="13"/>
      <c r="U641" s="14"/>
      <c r="V641" s="14"/>
      <c r="W641" s="14"/>
      <c r="X641" s="14"/>
      <c r="Y641" s="14"/>
      <c r="Z641" s="15"/>
    </row>
    <row r="642" spans="18:26" ht="12">
      <c r="R642" s="13"/>
      <c r="S642" s="13"/>
      <c r="T642" s="13"/>
      <c r="U642" s="14"/>
      <c r="V642" s="14"/>
      <c r="W642" s="14"/>
      <c r="X642" s="14"/>
      <c r="Y642" s="14"/>
      <c r="Z642" s="15"/>
    </row>
    <row r="643" spans="18:26" ht="12">
      <c r="R643" s="13"/>
      <c r="S643" s="13"/>
      <c r="T643" s="13"/>
      <c r="U643" s="14"/>
      <c r="V643" s="14"/>
      <c r="W643" s="14"/>
      <c r="X643" s="14"/>
      <c r="Y643" s="14"/>
      <c r="Z643" s="15"/>
    </row>
    <row r="644" spans="18:26" ht="12">
      <c r="R644" s="13"/>
      <c r="S644" s="13"/>
      <c r="T644" s="13"/>
      <c r="U644" s="14"/>
      <c r="V644" s="14"/>
      <c r="W644" s="14"/>
      <c r="X644" s="14"/>
      <c r="Y644" s="14"/>
      <c r="Z644" s="15"/>
    </row>
    <row r="645" spans="18:26" ht="12">
      <c r="R645" s="13"/>
      <c r="S645" s="13"/>
      <c r="T645" s="13"/>
      <c r="U645" s="14"/>
      <c r="V645" s="14"/>
      <c r="W645" s="14"/>
      <c r="X645" s="14"/>
      <c r="Y645" s="14"/>
      <c r="Z645" s="15"/>
    </row>
    <row r="646" spans="18:26" ht="12">
      <c r="R646" s="13"/>
      <c r="S646" s="13"/>
      <c r="T646" s="13"/>
      <c r="U646" s="14"/>
      <c r="V646" s="14"/>
      <c r="W646" s="14"/>
      <c r="X646" s="14"/>
      <c r="Y646" s="14"/>
      <c r="Z646" s="15"/>
    </row>
    <row r="647" spans="18:26" ht="12">
      <c r="R647" s="13"/>
      <c r="S647" s="13"/>
      <c r="T647" s="13"/>
      <c r="U647" s="14"/>
      <c r="V647" s="14"/>
      <c r="W647" s="14"/>
      <c r="X647" s="14"/>
      <c r="Y647" s="14"/>
      <c r="Z647" s="15"/>
    </row>
    <row r="648" spans="18:26" ht="12">
      <c r="R648" s="13"/>
      <c r="S648" s="13"/>
      <c r="T648" s="13"/>
      <c r="U648" s="14"/>
      <c r="V648" s="14"/>
      <c r="W648" s="14"/>
      <c r="X648" s="14"/>
      <c r="Y648" s="14"/>
      <c r="Z648" s="15"/>
    </row>
    <row r="649" spans="18:26" ht="12">
      <c r="R649" s="13"/>
      <c r="S649" s="13"/>
      <c r="T649" s="13"/>
      <c r="U649" s="14"/>
      <c r="V649" s="14"/>
      <c r="W649" s="14"/>
      <c r="X649" s="14"/>
      <c r="Y649" s="14"/>
      <c r="Z649" s="15"/>
    </row>
    <row r="650" spans="18:26" ht="12">
      <c r="R650" s="13"/>
      <c r="S650" s="13"/>
      <c r="T650" s="13"/>
      <c r="U650" s="14"/>
      <c r="V650" s="14"/>
      <c r="W650" s="14"/>
      <c r="X650" s="14"/>
      <c r="Y650" s="14"/>
      <c r="Z650" s="15"/>
    </row>
    <row r="651" spans="18:26" ht="12">
      <c r="R651" s="13"/>
      <c r="S651" s="13"/>
      <c r="T651" s="13"/>
      <c r="U651" s="14"/>
      <c r="V651" s="14"/>
      <c r="W651" s="14"/>
      <c r="X651" s="14"/>
      <c r="Y651" s="14"/>
      <c r="Z651" s="15"/>
    </row>
    <row r="652" spans="18:26" ht="12">
      <c r="R652" s="13"/>
      <c r="S652" s="13"/>
      <c r="T652" s="13"/>
      <c r="U652" s="14"/>
      <c r="V652" s="14"/>
      <c r="W652" s="14"/>
      <c r="X652" s="14"/>
      <c r="Y652" s="14"/>
      <c r="Z652" s="15"/>
    </row>
    <row r="653" spans="18:26" ht="12">
      <c r="R653" s="13"/>
      <c r="S653" s="13"/>
      <c r="T653" s="13"/>
      <c r="U653" s="14"/>
      <c r="V653" s="14"/>
      <c r="W653" s="14"/>
      <c r="X653" s="14"/>
      <c r="Y653" s="14"/>
      <c r="Z653" s="15"/>
    </row>
    <row r="654" spans="18:26" ht="12">
      <c r="R654" s="13"/>
      <c r="S654" s="13"/>
      <c r="T654" s="13"/>
      <c r="U654" s="14"/>
      <c r="V654" s="14"/>
      <c r="W654" s="14"/>
      <c r="X654" s="14"/>
      <c r="Y654" s="14"/>
      <c r="Z654" s="15"/>
    </row>
    <row r="655" spans="18:26" ht="12">
      <c r="R655" s="13"/>
      <c r="S655" s="13"/>
      <c r="T655" s="13"/>
      <c r="U655" s="14"/>
      <c r="V655" s="14"/>
      <c r="W655" s="14"/>
      <c r="X655" s="14"/>
      <c r="Y655" s="14"/>
      <c r="Z655" s="15"/>
    </row>
    <row r="656" spans="18:26" ht="12">
      <c r="R656" s="13"/>
      <c r="S656" s="13"/>
      <c r="T656" s="13"/>
      <c r="U656" s="14"/>
      <c r="V656" s="14"/>
      <c r="W656" s="14"/>
      <c r="X656" s="14"/>
      <c r="Y656" s="14"/>
      <c r="Z656" s="15"/>
    </row>
    <row r="657" spans="18:26" ht="12">
      <c r="R657" s="13"/>
      <c r="S657" s="13"/>
      <c r="T657" s="13"/>
      <c r="U657" s="14"/>
      <c r="V657" s="14"/>
      <c r="W657" s="14"/>
      <c r="X657" s="14"/>
      <c r="Y657" s="14"/>
      <c r="Z657" s="15"/>
    </row>
    <row r="658" spans="18:26" ht="12">
      <c r="R658" s="13"/>
      <c r="S658" s="13"/>
      <c r="T658" s="13"/>
      <c r="U658" s="14"/>
      <c r="V658" s="14"/>
      <c r="W658" s="14"/>
      <c r="X658" s="14"/>
      <c r="Y658" s="14"/>
      <c r="Z658" s="15"/>
    </row>
    <row r="659" spans="18:26" ht="12">
      <c r="R659" s="13"/>
      <c r="S659" s="13"/>
      <c r="T659" s="13"/>
      <c r="U659" s="14"/>
      <c r="V659" s="14"/>
      <c r="W659" s="14"/>
      <c r="X659" s="14"/>
      <c r="Y659" s="14"/>
      <c r="Z659" s="15"/>
    </row>
    <row r="660" spans="18:26" ht="12">
      <c r="R660" s="13"/>
      <c r="S660" s="13"/>
      <c r="T660" s="13"/>
      <c r="U660" s="14"/>
      <c r="V660" s="14"/>
      <c r="W660" s="14"/>
      <c r="X660" s="14"/>
      <c r="Y660" s="14"/>
      <c r="Z660" s="15"/>
    </row>
    <row r="661" spans="18:26" ht="12">
      <c r="R661" s="13"/>
      <c r="S661" s="13"/>
      <c r="T661" s="13"/>
      <c r="U661" s="14"/>
      <c r="V661" s="14"/>
      <c r="W661" s="14"/>
      <c r="X661" s="14"/>
      <c r="Y661" s="14"/>
      <c r="Z661" s="15"/>
    </row>
    <row r="662" spans="18:26" ht="12">
      <c r="R662" s="13"/>
      <c r="S662" s="13"/>
      <c r="T662" s="13"/>
      <c r="U662" s="14"/>
      <c r="V662" s="14"/>
      <c r="W662" s="14"/>
      <c r="X662" s="14"/>
      <c r="Y662" s="14"/>
      <c r="Z662" s="15"/>
    </row>
    <row r="663" spans="18:26" ht="12">
      <c r="R663" s="13"/>
      <c r="S663" s="13"/>
      <c r="T663" s="13"/>
      <c r="U663" s="14"/>
      <c r="V663" s="14"/>
      <c r="W663" s="14"/>
      <c r="X663" s="14"/>
      <c r="Y663" s="14"/>
      <c r="Z663" s="15"/>
    </row>
    <row r="664" spans="18:26" ht="12">
      <c r="R664" s="13"/>
      <c r="S664" s="13"/>
      <c r="T664" s="13"/>
      <c r="U664" s="14"/>
      <c r="V664" s="14"/>
      <c r="W664" s="14"/>
      <c r="X664" s="14"/>
      <c r="Y664" s="14"/>
      <c r="Z664" s="15"/>
    </row>
    <row r="665" spans="18:26" ht="12">
      <c r="R665" s="13"/>
      <c r="S665" s="13"/>
      <c r="T665" s="13"/>
      <c r="U665" s="14"/>
      <c r="V665" s="14"/>
      <c r="W665" s="14"/>
      <c r="X665" s="14"/>
      <c r="Y665" s="14"/>
      <c r="Z665" s="15"/>
    </row>
    <row r="666" spans="18:26" ht="12">
      <c r="R666" s="13"/>
      <c r="S666" s="13"/>
      <c r="T666" s="13"/>
      <c r="U666" s="14"/>
      <c r="V666" s="14"/>
      <c r="W666" s="14"/>
      <c r="X666" s="14"/>
      <c r="Y666" s="14"/>
      <c r="Z666" s="15"/>
    </row>
    <row r="667" spans="18:26" ht="12">
      <c r="R667" s="13"/>
      <c r="S667" s="13"/>
      <c r="T667" s="13"/>
      <c r="U667" s="14"/>
      <c r="V667" s="14"/>
      <c r="W667" s="14"/>
      <c r="X667" s="14"/>
      <c r="Y667" s="14"/>
      <c r="Z667" s="15"/>
    </row>
    <row r="668" spans="18:26" ht="12">
      <c r="R668" s="13"/>
      <c r="S668" s="13"/>
      <c r="T668" s="13"/>
      <c r="U668" s="14"/>
      <c r="V668" s="14"/>
      <c r="W668" s="14"/>
      <c r="X668" s="14"/>
      <c r="Y668" s="14"/>
      <c r="Z668" s="15"/>
    </row>
    <row r="669" spans="18:26" ht="12">
      <c r="R669" s="13"/>
      <c r="S669" s="13"/>
      <c r="T669" s="13"/>
      <c r="U669" s="14"/>
      <c r="V669" s="14"/>
      <c r="W669" s="14"/>
      <c r="X669" s="14"/>
      <c r="Y669" s="14"/>
      <c r="Z669" s="15"/>
    </row>
    <row r="670" spans="18:26" ht="12">
      <c r="R670" s="13"/>
      <c r="S670" s="13"/>
      <c r="T670" s="13"/>
      <c r="U670" s="14"/>
      <c r="V670" s="14"/>
      <c r="W670" s="14"/>
      <c r="X670" s="14"/>
      <c r="Y670" s="14"/>
      <c r="Z670" s="15"/>
    </row>
    <row r="671" spans="18:26" ht="12">
      <c r="R671" s="13"/>
      <c r="S671" s="13"/>
      <c r="T671" s="13"/>
      <c r="U671" s="14"/>
      <c r="V671" s="14"/>
      <c r="W671" s="14"/>
      <c r="X671" s="14"/>
      <c r="Y671" s="14"/>
      <c r="Z671" s="15"/>
    </row>
    <row r="672" spans="18:26" ht="12">
      <c r="R672" s="13"/>
      <c r="S672" s="13"/>
      <c r="T672" s="13"/>
      <c r="U672" s="14"/>
      <c r="V672" s="14"/>
      <c r="W672" s="14"/>
      <c r="X672" s="14"/>
      <c r="Y672" s="14"/>
      <c r="Z672" s="15"/>
    </row>
    <row r="673" spans="18:26" ht="12">
      <c r="R673" s="13"/>
      <c r="S673" s="13"/>
      <c r="T673" s="13"/>
      <c r="U673" s="14"/>
      <c r="V673" s="14"/>
      <c r="W673" s="14"/>
      <c r="X673" s="14"/>
      <c r="Y673" s="14"/>
      <c r="Z673" s="15"/>
    </row>
    <row r="674" spans="18:26" ht="12">
      <c r="R674" s="13"/>
      <c r="S674" s="13"/>
      <c r="T674" s="13"/>
      <c r="U674" s="14"/>
      <c r="V674" s="14"/>
      <c r="W674" s="14"/>
      <c r="X674" s="14"/>
      <c r="Y674" s="14"/>
      <c r="Z674" s="15"/>
    </row>
    <row r="675" spans="18:26" ht="12">
      <c r="R675" s="13"/>
      <c r="S675" s="13"/>
      <c r="T675" s="13"/>
      <c r="U675" s="14"/>
      <c r="V675" s="14"/>
      <c r="W675" s="14"/>
      <c r="X675" s="14"/>
      <c r="Y675" s="14"/>
      <c r="Z675" s="15"/>
    </row>
    <row r="676" spans="18:26" ht="12">
      <c r="R676" s="13"/>
      <c r="S676" s="13"/>
      <c r="T676" s="13"/>
      <c r="U676" s="14"/>
      <c r="V676" s="14"/>
      <c r="W676" s="14"/>
      <c r="X676" s="14"/>
      <c r="Y676" s="14"/>
      <c r="Z676" s="15"/>
    </row>
    <row r="677" spans="18:26" ht="12">
      <c r="R677" s="13"/>
      <c r="S677" s="13"/>
      <c r="T677" s="13"/>
      <c r="U677" s="14"/>
      <c r="V677" s="14"/>
      <c r="W677" s="14"/>
      <c r="X677" s="14"/>
      <c r="Y677" s="14"/>
      <c r="Z677" s="15"/>
    </row>
    <row r="678" spans="18:26" ht="12">
      <c r="R678" s="13"/>
      <c r="S678" s="13"/>
      <c r="T678" s="13"/>
      <c r="U678" s="14"/>
      <c r="V678" s="14"/>
      <c r="W678" s="14"/>
      <c r="X678" s="14"/>
      <c r="Y678" s="14"/>
      <c r="Z678" s="15"/>
    </row>
    <row r="679" spans="18:26" ht="12">
      <c r="R679" s="13"/>
      <c r="S679" s="13"/>
      <c r="T679" s="13"/>
      <c r="U679" s="14"/>
      <c r="V679" s="14"/>
      <c r="W679" s="14"/>
      <c r="X679" s="14"/>
      <c r="Y679" s="14"/>
      <c r="Z679" s="15"/>
    </row>
    <row r="680" spans="18:26" ht="12">
      <c r="R680" s="13"/>
      <c r="S680" s="13"/>
      <c r="T680" s="13"/>
      <c r="U680" s="14"/>
      <c r="V680" s="14"/>
      <c r="W680" s="14"/>
      <c r="X680" s="14"/>
      <c r="Y680" s="14"/>
      <c r="Z680" s="15"/>
    </row>
    <row r="681" spans="18:26" ht="12">
      <c r="R681" s="13"/>
      <c r="S681" s="13"/>
      <c r="T681" s="13"/>
      <c r="U681" s="14"/>
      <c r="V681" s="14"/>
      <c r="W681" s="14"/>
      <c r="X681" s="14"/>
      <c r="Y681" s="14"/>
      <c r="Z681" s="15"/>
    </row>
    <row r="682" spans="18:26" ht="12">
      <c r="R682" s="13"/>
      <c r="S682" s="13"/>
      <c r="T682" s="13"/>
      <c r="U682" s="14"/>
      <c r="V682" s="14"/>
      <c r="W682" s="14"/>
      <c r="X682" s="14"/>
      <c r="Y682" s="14"/>
      <c r="Z682" s="15"/>
    </row>
    <row r="683" spans="18:26" ht="12">
      <c r="R683" s="13"/>
      <c r="S683" s="13"/>
      <c r="T683" s="13"/>
      <c r="U683" s="14"/>
      <c r="V683" s="14"/>
      <c r="W683" s="14"/>
      <c r="X683" s="14"/>
      <c r="Y683" s="14"/>
      <c r="Z683" s="15"/>
    </row>
    <row r="684" spans="18:26" ht="12">
      <c r="R684" s="13"/>
      <c r="S684" s="13"/>
      <c r="T684" s="13"/>
      <c r="U684" s="14"/>
      <c r="V684" s="14"/>
      <c r="W684" s="14"/>
      <c r="X684" s="14"/>
      <c r="Y684" s="14"/>
      <c r="Z684" s="15"/>
    </row>
    <row r="685" spans="18:26" ht="12">
      <c r="R685" s="13"/>
      <c r="S685" s="13"/>
      <c r="T685" s="13"/>
      <c r="U685" s="14"/>
      <c r="V685" s="14"/>
      <c r="W685" s="14"/>
      <c r="X685" s="14"/>
      <c r="Y685" s="14"/>
      <c r="Z685" s="15"/>
    </row>
    <row r="686" spans="18:26" ht="12">
      <c r="R686" s="13"/>
      <c r="S686" s="13"/>
      <c r="T686" s="13"/>
      <c r="U686" s="14"/>
      <c r="V686" s="14"/>
      <c r="W686" s="14"/>
      <c r="X686" s="14"/>
      <c r="Y686" s="14"/>
      <c r="Z686" s="15"/>
    </row>
    <row r="687" spans="18:26" ht="12">
      <c r="R687" s="13"/>
      <c r="S687" s="13"/>
      <c r="T687" s="13"/>
      <c r="U687" s="14"/>
      <c r="V687" s="14"/>
      <c r="W687" s="14"/>
      <c r="X687" s="14"/>
      <c r="Y687" s="14"/>
      <c r="Z687" s="15"/>
    </row>
    <row r="688" spans="18:26" ht="12">
      <c r="R688" s="13"/>
      <c r="S688" s="13"/>
      <c r="T688" s="13"/>
      <c r="U688" s="14"/>
      <c r="V688" s="14"/>
      <c r="W688" s="14"/>
      <c r="X688" s="14"/>
      <c r="Y688" s="14"/>
      <c r="Z688" s="15"/>
    </row>
    <row r="689" spans="18:26" ht="12">
      <c r="R689" s="13"/>
      <c r="S689" s="13"/>
      <c r="T689" s="13"/>
      <c r="U689" s="14"/>
      <c r="V689" s="14"/>
      <c r="W689" s="14"/>
      <c r="X689" s="14"/>
      <c r="Y689" s="14"/>
      <c r="Z689" s="15"/>
    </row>
    <row r="690" spans="18:26" ht="12">
      <c r="R690" s="13"/>
      <c r="S690" s="13"/>
      <c r="T690" s="13"/>
      <c r="U690" s="14"/>
      <c r="V690" s="14"/>
      <c r="W690" s="14"/>
      <c r="X690" s="14"/>
      <c r="Y690" s="14"/>
      <c r="Z690" s="15"/>
    </row>
    <row r="691" spans="18:26" ht="12">
      <c r="R691" s="13"/>
      <c r="S691" s="13"/>
      <c r="T691" s="13"/>
      <c r="U691" s="14"/>
      <c r="V691" s="14"/>
      <c r="W691" s="14"/>
      <c r="X691" s="14"/>
      <c r="Y691" s="14"/>
      <c r="Z691" s="15"/>
    </row>
    <row r="692" spans="18:26" ht="12">
      <c r="R692" s="13"/>
      <c r="S692" s="13"/>
      <c r="T692" s="13"/>
      <c r="U692" s="14"/>
      <c r="V692" s="14"/>
      <c r="W692" s="14"/>
      <c r="X692" s="14"/>
      <c r="Y692" s="14"/>
      <c r="Z692" s="15"/>
    </row>
    <row r="693" spans="18:26" ht="12">
      <c r="R693" s="13"/>
      <c r="S693" s="13"/>
      <c r="T693" s="13"/>
      <c r="U693" s="14"/>
      <c r="V693" s="14"/>
      <c r="W693" s="14"/>
      <c r="X693" s="14"/>
      <c r="Y693" s="14"/>
      <c r="Z693" s="15"/>
    </row>
    <row r="694" spans="18:26" ht="12">
      <c r="R694" s="13"/>
      <c r="S694" s="13"/>
      <c r="T694" s="13"/>
      <c r="U694" s="14"/>
      <c r="V694" s="14"/>
      <c r="W694" s="14"/>
      <c r="X694" s="14"/>
      <c r="Y694" s="14"/>
      <c r="Z694" s="15"/>
    </row>
    <row r="695" spans="18:26" ht="12">
      <c r="R695" s="13"/>
      <c r="S695" s="13"/>
      <c r="T695" s="13"/>
      <c r="U695" s="14"/>
      <c r="V695" s="14"/>
      <c r="W695" s="14"/>
      <c r="X695" s="14"/>
      <c r="Y695" s="14"/>
      <c r="Z695" s="15"/>
    </row>
    <row r="696" spans="18:26" ht="12">
      <c r="R696" s="13"/>
      <c r="S696" s="13"/>
      <c r="T696" s="13"/>
      <c r="U696" s="14"/>
      <c r="V696" s="14"/>
      <c r="W696" s="14"/>
      <c r="X696" s="14"/>
      <c r="Y696" s="14"/>
      <c r="Z696" s="15"/>
    </row>
    <row r="697" spans="18:26" ht="12">
      <c r="R697" s="13"/>
      <c r="S697" s="13"/>
      <c r="T697" s="13"/>
      <c r="U697" s="14"/>
      <c r="V697" s="14"/>
      <c r="W697" s="14"/>
      <c r="X697" s="14"/>
      <c r="Y697" s="14"/>
      <c r="Z697" s="15"/>
    </row>
    <row r="698" spans="18:26" ht="12">
      <c r="R698" s="13"/>
      <c r="S698" s="13"/>
      <c r="T698" s="13"/>
      <c r="U698" s="14"/>
      <c r="V698" s="14"/>
      <c r="W698" s="14"/>
      <c r="X698" s="14"/>
      <c r="Y698" s="14"/>
      <c r="Z698" s="15"/>
    </row>
    <row r="699" spans="18:26" ht="12">
      <c r="R699" s="13"/>
      <c r="S699" s="13"/>
      <c r="T699" s="13"/>
      <c r="U699" s="14"/>
      <c r="V699" s="14"/>
      <c r="W699" s="14"/>
      <c r="X699" s="14"/>
      <c r="Y699" s="14"/>
      <c r="Z699" s="15"/>
    </row>
    <row r="700" spans="18:26" ht="12">
      <c r="R700" s="13"/>
      <c r="S700" s="13"/>
      <c r="T700" s="13"/>
      <c r="U700" s="14"/>
      <c r="V700" s="14"/>
      <c r="W700" s="14"/>
      <c r="X700" s="14"/>
      <c r="Y700" s="14"/>
      <c r="Z700" s="15"/>
    </row>
    <row r="701" spans="18:26" ht="12">
      <c r="R701" s="13"/>
      <c r="S701" s="13"/>
      <c r="T701" s="13"/>
      <c r="U701" s="14"/>
      <c r="V701" s="14"/>
      <c r="W701" s="14"/>
      <c r="X701" s="14"/>
      <c r="Y701" s="14"/>
      <c r="Z701" s="15"/>
    </row>
    <row r="702" spans="18:26" ht="12">
      <c r="R702" s="13"/>
      <c r="S702" s="13"/>
      <c r="T702" s="13"/>
      <c r="U702" s="14"/>
      <c r="V702" s="14"/>
      <c r="W702" s="14"/>
      <c r="X702" s="14"/>
      <c r="Y702" s="14"/>
      <c r="Z702" s="15"/>
    </row>
    <row r="703" spans="18:26" ht="12">
      <c r="R703" s="13"/>
      <c r="S703" s="13"/>
      <c r="T703" s="13"/>
      <c r="U703" s="14"/>
      <c r="V703" s="14"/>
      <c r="W703" s="14"/>
      <c r="X703" s="14"/>
      <c r="Y703" s="14"/>
      <c r="Z703" s="15"/>
    </row>
    <row r="704" spans="18:26" ht="12">
      <c r="R704" s="13"/>
      <c r="S704" s="13"/>
      <c r="T704" s="13"/>
      <c r="U704" s="14"/>
      <c r="V704" s="14"/>
      <c r="W704" s="14"/>
      <c r="X704" s="14"/>
      <c r="Y704" s="14"/>
      <c r="Z704" s="15"/>
    </row>
    <row r="705" spans="18:26" ht="12">
      <c r="R705" s="13"/>
      <c r="S705" s="13"/>
      <c r="T705" s="13"/>
      <c r="U705" s="14"/>
      <c r="V705" s="14"/>
      <c r="W705" s="14"/>
      <c r="X705" s="14"/>
      <c r="Y705" s="14"/>
      <c r="Z705" s="15"/>
    </row>
    <row r="706" spans="18:26" ht="12">
      <c r="R706" s="13"/>
      <c r="S706" s="13"/>
      <c r="T706" s="13"/>
      <c r="U706" s="14"/>
      <c r="V706" s="14"/>
      <c r="W706" s="14"/>
      <c r="X706" s="14"/>
      <c r="Y706" s="14"/>
      <c r="Z706" s="15"/>
    </row>
    <row r="707" spans="18:26" ht="12">
      <c r="R707" s="13"/>
      <c r="S707" s="13"/>
      <c r="T707" s="13"/>
      <c r="U707" s="14"/>
      <c r="V707" s="14"/>
      <c r="W707" s="14"/>
      <c r="X707" s="14"/>
      <c r="Y707" s="14"/>
      <c r="Z707" s="15"/>
    </row>
    <row r="708" spans="18:26" ht="12">
      <c r="R708" s="13"/>
      <c r="S708" s="13"/>
      <c r="T708" s="13"/>
      <c r="U708" s="14"/>
      <c r="V708" s="14"/>
      <c r="W708" s="14"/>
      <c r="X708" s="14"/>
      <c r="Y708" s="14"/>
      <c r="Z708" s="15"/>
    </row>
  </sheetData>
  <printOptions/>
  <pageMargins left="0.75" right="0.75" top="1" bottom="1" header="0.5" footer="0.5"/>
  <pageSetup orientation="portrait" r:id="rId2"/>
  <ignoredErrors>
    <ignoredError sqref="E3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 B-J Equaliser</dc:title>
  <dc:subject>Plotting Audio Equalisers</dc:subject>
  <dc:creator>Web Surf    websurff@gmail.com</dc:creator>
  <cp:keywords/>
  <dc:description>Thanks to Robert Bristow-Johnson
rbj@audioimagination.com for his EQ Cookbook !!</dc:description>
  <cp:lastModifiedBy>V</cp:lastModifiedBy>
  <dcterms:created xsi:type="dcterms:W3CDTF">2006-01-13T07:09:16Z</dcterms:created>
  <dcterms:modified xsi:type="dcterms:W3CDTF">2006-02-24T08:32:52Z</dcterms:modified>
  <cp:category/>
  <cp:version/>
  <cp:contentType/>
  <cp:contentStatus/>
</cp:coreProperties>
</file>